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vergreens7t.sharepoint.com/sites/clerkandrecorder/Shared Documents/Elections/2025/Voting Systems/Reports/Canvass Upload (Official Results)/"/>
    </mc:Choice>
  </mc:AlternateContent>
  <xr:revisionPtr revIDLastSave="0" documentId="8_{D326F060-BD2D-426F-9384-6D4D8AFD72C1}" xr6:coauthVersionLast="47" xr6:coauthVersionMax="47" xr10:uidLastSave="{00000000-0000-0000-0000-000000000000}"/>
  <bookViews>
    <workbookView xWindow="-120" yWindow="-120" windowWidth="29040" windowHeight="15720" xr2:uid="{BC4396C2-95E3-4A36-A49C-76FEFE41DC08}"/>
  </bookViews>
  <sheets>
    <sheet name="Officia_Redacted_lCVR_Export_20" sheetId="1" r:id="rId1"/>
  </sheets>
  <calcPr calcId="0"/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A53" i="1"/>
  <c r="B53" i="1"/>
  <c r="C53" i="1"/>
  <c r="D53" i="1"/>
  <c r="E53" i="1"/>
  <c r="A54" i="1"/>
  <c r="B54" i="1"/>
  <c r="C54" i="1"/>
  <c r="D54" i="1"/>
  <c r="E54" i="1"/>
  <c r="A55" i="1"/>
  <c r="B55" i="1"/>
  <c r="C55" i="1"/>
  <c r="D55" i="1"/>
  <c r="E55" i="1"/>
  <c r="A56" i="1"/>
  <c r="B56" i="1"/>
  <c r="C56" i="1"/>
  <c r="D56" i="1"/>
  <c r="E56" i="1"/>
  <c r="A57" i="1"/>
  <c r="B57" i="1"/>
  <c r="C57" i="1"/>
  <c r="D57" i="1"/>
  <c r="E57" i="1"/>
  <c r="A58" i="1"/>
  <c r="B58" i="1"/>
  <c r="C58" i="1"/>
  <c r="D58" i="1"/>
  <c r="E58" i="1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A68" i="1"/>
  <c r="B68" i="1"/>
  <c r="C68" i="1"/>
  <c r="D68" i="1"/>
  <c r="E68" i="1"/>
  <c r="A69" i="1"/>
  <c r="B69" i="1"/>
  <c r="C69" i="1"/>
  <c r="D69" i="1"/>
  <c r="E69" i="1"/>
  <c r="A70" i="1"/>
  <c r="B70" i="1"/>
  <c r="C70" i="1"/>
  <c r="D70" i="1"/>
  <c r="E70" i="1"/>
  <c r="A71" i="1"/>
  <c r="B71" i="1"/>
  <c r="C71" i="1"/>
  <c r="D71" i="1"/>
  <c r="E71" i="1"/>
  <c r="A72" i="1"/>
  <c r="B72" i="1"/>
  <c r="C72" i="1"/>
  <c r="D72" i="1"/>
  <c r="E72" i="1"/>
  <c r="A73" i="1"/>
  <c r="B73" i="1"/>
  <c r="C73" i="1"/>
  <c r="D73" i="1"/>
  <c r="E73" i="1"/>
  <c r="A74" i="1"/>
  <c r="B74" i="1"/>
  <c r="C74" i="1"/>
  <c r="D74" i="1"/>
  <c r="E74" i="1"/>
  <c r="A75" i="1"/>
  <c r="B75" i="1"/>
  <c r="C75" i="1"/>
  <c r="D75" i="1"/>
  <c r="E75" i="1"/>
  <c r="A76" i="1"/>
  <c r="B76" i="1"/>
  <c r="C76" i="1"/>
  <c r="D76" i="1"/>
  <c r="E76" i="1"/>
  <c r="A77" i="1"/>
  <c r="B77" i="1"/>
  <c r="C77" i="1"/>
  <c r="D77" i="1"/>
  <c r="E77" i="1"/>
  <c r="A78" i="1"/>
  <c r="B78" i="1"/>
  <c r="C78" i="1"/>
  <c r="D78" i="1"/>
  <c r="E78" i="1"/>
  <c r="A79" i="1"/>
  <c r="B79" i="1"/>
  <c r="C79" i="1"/>
  <c r="D79" i="1"/>
  <c r="E79" i="1"/>
  <c r="A80" i="1"/>
  <c r="B80" i="1"/>
  <c r="C80" i="1"/>
  <c r="D80" i="1"/>
  <c r="E80" i="1"/>
  <c r="A81" i="1"/>
  <c r="B81" i="1"/>
  <c r="C81" i="1"/>
  <c r="D81" i="1"/>
  <c r="E81" i="1"/>
  <c r="A82" i="1"/>
  <c r="B82" i="1"/>
  <c r="C82" i="1"/>
  <c r="D82" i="1"/>
  <c r="E82" i="1"/>
  <c r="A83" i="1"/>
  <c r="B83" i="1"/>
  <c r="C83" i="1"/>
  <c r="D83" i="1"/>
  <c r="E83" i="1"/>
  <c r="A84" i="1"/>
  <c r="B84" i="1"/>
  <c r="C84" i="1"/>
  <c r="D84" i="1"/>
  <c r="E84" i="1"/>
  <c r="A85" i="1"/>
  <c r="B85" i="1"/>
  <c r="C85" i="1"/>
  <c r="D85" i="1"/>
  <c r="E85" i="1"/>
  <c r="A86" i="1"/>
  <c r="B86" i="1"/>
  <c r="C86" i="1"/>
  <c r="D86" i="1"/>
  <c r="E86" i="1"/>
  <c r="A87" i="1"/>
  <c r="B87" i="1"/>
  <c r="C87" i="1"/>
  <c r="D87" i="1"/>
  <c r="E87" i="1"/>
  <c r="A88" i="1"/>
  <c r="B88" i="1"/>
  <c r="C88" i="1"/>
  <c r="D88" i="1"/>
  <c r="E88" i="1"/>
  <c r="A89" i="1"/>
  <c r="B89" i="1"/>
  <c r="C89" i="1"/>
  <c r="D89" i="1"/>
  <c r="E89" i="1"/>
  <c r="A90" i="1"/>
  <c r="B90" i="1"/>
  <c r="C90" i="1"/>
  <c r="D90" i="1"/>
  <c r="E90" i="1"/>
  <c r="A91" i="1"/>
  <c r="B91" i="1"/>
  <c r="C91" i="1"/>
  <c r="D91" i="1"/>
  <c r="E91" i="1"/>
  <c r="A92" i="1"/>
  <c r="B92" i="1"/>
  <c r="C92" i="1"/>
  <c r="D92" i="1"/>
  <c r="E92" i="1"/>
  <c r="A93" i="1"/>
  <c r="B93" i="1"/>
  <c r="C93" i="1"/>
  <c r="D93" i="1"/>
  <c r="E93" i="1"/>
  <c r="A94" i="1"/>
  <c r="B94" i="1"/>
  <c r="C94" i="1"/>
  <c r="D94" i="1"/>
  <c r="E94" i="1"/>
  <c r="A95" i="1"/>
  <c r="B95" i="1"/>
  <c r="C95" i="1"/>
  <c r="D95" i="1"/>
  <c r="E95" i="1"/>
  <c r="A96" i="1"/>
  <c r="B96" i="1"/>
  <c r="C96" i="1"/>
  <c r="D96" i="1"/>
  <c r="E96" i="1"/>
  <c r="A97" i="1"/>
  <c r="B97" i="1"/>
  <c r="C97" i="1"/>
  <c r="D97" i="1"/>
  <c r="E97" i="1"/>
  <c r="A98" i="1"/>
  <c r="B98" i="1"/>
  <c r="C98" i="1"/>
  <c r="D98" i="1"/>
  <c r="E98" i="1"/>
  <c r="A99" i="1"/>
  <c r="B99" i="1"/>
  <c r="C99" i="1"/>
  <c r="D99" i="1"/>
  <c r="E99" i="1"/>
  <c r="A100" i="1"/>
  <c r="B100" i="1"/>
  <c r="C100" i="1"/>
  <c r="D100" i="1"/>
  <c r="E100" i="1"/>
  <c r="A101" i="1"/>
  <c r="B101" i="1"/>
  <c r="C101" i="1"/>
  <c r="D101" i="1"/>
  <c r="E101" i="1"/>
  <c r="A102" i="1"/>
  <c r="B102" i="1"/>
  <c r="C102" i="1"/>
  <c r="D102" i="1"/>
  <c r="E102" i="1"/>
  <c r="A103" i="1"/>
  <c r="B103" i="1"/>
  <c r="C103" i="1"/>
  <c r="D103" i="1"/>
  <c r="E103" i="1"/>
  <c r="A104" i="1"/>
  <c r="B104" i="1"/>
  <c r="C104" i="1"/>
  <c r="D104" i="1"/>
  <c r="E104" i="1"/>
  <c r="A105" i="1"/>
  <c r="B105" i="1"/>
  <c r="C105" i="1"/>
  <c r="D105" i="1"/>
  <c r="E105" i="1"/>
  <c r="A106" i="1"/>
  <c r="B106" i="1"/>
  <c r="C106" i="1"/>
  <c r="D106" i="1"/>
  <c r="E106" i="1"/>
  <c r="A107" i="1"/>
  <c r="B107" i="1"/>
  <c r="C107" i="1"/>
  <c r="D107" i="1"/>
  <c r="E107" i="1"/>
  <c r="A108" i="1"/>
  <c r="B108" i="1"/>
  <c r="C108" i="1"/>
  <c r="D108" i="1"/>
  <c r="E108" i="1"/>
  <c r="A109" i="1"/>
  <c r="B109" i="1"/>
  <c r="C109" i="1"/>
  <c r="D109" i="1"/>
  <c r="E109" i="1"/>
  <c r="A110" i="1"/>
  <c r="B110" i="1"/>
  <c r="C110" i="1"/>
  <c r="D110" i="1"/>
  <c r="E110" i="1"/>
  <c r="A111" i="1"/>
  <c r="B111" i="1"/>
  <c r="C111" i="1"/>
  <c r="D111" i="1"/>
  <c r="E111" i="1"/>
  <c r="A112" i="1"/>
  <c r="B112" i="1"/>
  <c r="C112" i="1"/>
  <c r="D112" i="1"/>
  <c r="E112" i="1"/>
  <c r="A113" i="1"/>
  <c r="B113" i="1"/>
  <c r="C113" i="1"/>
  <c r="D113" i="1"/>
  <c r="E113" i="1"/>
  <c r="A114" i="1"/>
  <c r="B114" i="1"/>
  <c r="C114" i="1"/>
  <c r="D114" i="1"/>
  <c r="E114" i="1"/>
  <c r="A115" i="1"/>
  <c r="B115" i="1"/>
  <c r="C115" i="1"/>
  <c r="D115" i="1"/>
  <c r="E115" i="1"/>
  <c r="A116" i="1"/>
  <c r="B116" i="1"/>
  <c r="C116" i="1"/>
  <c r="D116" i="1"/>
  <c r="E116" i="1"/>
  <c r="A117" i="1"/>
  <c r="B117" i="1"/>
  <c r="C117" i="1"/>
  <c r="D117" i="1"/>
  <c r="E117" i="1"/>
  <c r="A118" i="1"/>
  <c r="B118" i="1"/>
  <c r="C118" i="1"/>
  <c r="D118" i="1"/>
  <c r="E118" i="1"/>
  <c r="A119" i="1"/>
  <c r="B119" i="1"/>
  <c r="C119" i="1"/>
  <c r="D119" i="1"/>
  <c r="E119" i="1"/>
  <c r="A120" i="1"/>
  <c r="B120" i="1"/>
  <c r="C120" i="1"/>
  <c r="D120" i="1"/>
  <c r="E120" i="1"/>
  <c r="A121" i="1"/>
  <c r="B121" i="1"/>
  <c r="C121" i="1"/>
  <c r="D121" i="1"/>
  <c r="E121" i="1"/>
  <c r="A122" i="1"/>
  <c r="B122" i="1"/>
  <c r="C122" i="1"/>
  <c r="D122" i="1"/>
  <c r="E122" i="1"/>
  <c r="A123" i="1"/>
  <c r="B123" i="1"/>
  <c r="C123" i="1"/>
  <c r="D123" i="1"/>
  <c r="E123" i="1"/>
  <c r="A124" i="1"/>
  <c r="B124" i="1"/>
  <c r="C124" i="1"/>
  <c r="D124" i="1"/>
  <c r="E124" i="1"/>
  <c r="A125" i="1"/>
  <c r="B125" i="1"/>
  <c r="C125" i="1"/>
  <c r="D125" i="1"/>
  <c r="E125" i="1"/>
  <c r="A126" i="1"/>
  <c r="B126" i="1"/>
  <c r="C126" i="1"/>
  <c r="D126" i="1"/>
  <c r="E126" i="1"/>
  <c r="A127" i="1"/>
  <c r="B127" i="1"/>
  <c r="C127" i="1"/>
  <c r="D127" i="1"/>
  <c r="E127" i="1"/>
  <c r="A128" i="1"/>
  <c r="B128" i="1"/>
  <c r="C128" i="1"/>
  <c r="D128" i="1"/>
  <c r="E128" i="1"/>
  <c r="A129" i="1"/>
  <c r="B129" i="1"/>
  <c r="C129" i="1"/>
  <c r="D129" i="1"/>
  <c r="E129" i="1"/>
  <c r="A130" i="1"/>
  <c r="B130" i="1"/>
  <c r="C130" i="1"/>
  <c r="D130" i="1"/>
  <c r="E130" i="1"/>
  <c r="A131" i="1"/>
  <c r="B131" i="1"/>
  <c r="C131" i="1"/>
  <c r="D131" i="1"/>
  <c r="E131" i="1"/>
  <c r="A132" i="1"/>
  <c r="B132" i="1"/>
  <c r="C132" i="1"/>
  <c r="D132" i="1"/>
  <c r="E132" i="1"/>
  <c r="A133" i="1"/>
  <c r="B133" i="1"/>
  <c r="C133" i="1"/>
  <c r="D133" i="1"/>
  <c r="E133" i="1"/>
  <c r="A134" i="1"/>
  <c r="B134" i="1"/>
  <c r="C134" i="1"/>
  <c r="D134" i="1"/>
  <c r="E134" i="1"/>
  <c r="A135" i="1"/>
  <c r="B135" i="1"/>
  <c r="C135" i="1"/>
  <c r="D135" i="1"/>
  <c r="E135" i="1"/>
  <c r="A136" i="1"/>
  <c r="B136" i="1"/>
  <c r="C136" i="1"/>
  <c r="D136" i="1"/>
  <c r="E136" i="1"/>
  <c r="A137" i="1"/>
  <c r="B137" i="1"/>
  <c r="C137" i="1"/>
  <c r="D137" i="1"/>
  <c r="E137" i="1"/>
  <c r="A138" i="1"/>
  <c r="B138" i="1"/>
  <c r="C138" i="1"/>
  <c r="D138" i="1"/>
  <c r="E138" i="1"/>
  <c r="A139" i="1"/>
  <c r="B139" i="1"/>
  <c r="C139" i="1"/>
  <c r="D139" i="1"/>
  <c r="E139" i="1"/>
  <c r="A140" i="1"/>
  <c r="B140" i="1"/>
  <c r="C140" i="1"/>
  <c r="D140" i="1"/>
  <c r="E140" i="1"/>
  <c r="A141" i="1"/>
  <c r="B141" i="1"/>
  <c r="C141" i="1"/>
  <c r="D141" i="1"/>
  <c r="E141" i="1"/>
  <c r="A142" i="1"/>
  <c r="B142" i="1"/>
  <c r="C142" i="1"/>
  <c r="D142" i="1"/>
  <c r="E142" i="1"/>
  <c r="A143" i="1"/>
  <c r="B143" i="1"/>
  <c r="C143" i="1"/>
  <c r="D143" i="1"/>
  <c r="E143" i="1"/>
  <c r="A144" i="1"/>
  <c r="B144" i="1"/>
  <c r="C144" i="1"/>
  <c r="D144" i="1"/>
  <c r="E144" i="1"/>
  <c r="A145" i="1"/>
  <c r="B145" i="1"/>
  <c r="C145" i="1"/>
  <c r="D145" i="1"/>
  <c r="E145" i="1"/>
  <c r="A146" i="1"/>
  <c r="B146" i="1"/>
  <c r="C146" i="1"/>
  <c r="D146" i="1"/>
  <c r="E146" i="1"/>
  <c r="A147" i="1"/>
  <c r="B147" i="1"/>
  <c r="C147" i="1"/>
  <c r="D147" i="1"/>
  <c r="E147" i="1"/>
  <c r="A148" i="1"/>
  <c r="B148" i="1"/>
  <c r="C148" i="1"/>
  <c r="D148" i="1"/>
  <c r="E148" i="1"/>
  <c r="A149" i="1"/>
  <c r="B149" i="1"/>
  <c r="C149" i="1"/>
  <c r="D149" i="1"/>
  <c r="E149" i="1"/>
  <c r="A150" i="1"/>
  <c r="B150" i="1"/>
  <c r="C150" i="1"/>
  <c r="D150" i="1"/>
  <c r="E150" i="1"/>
  <c r="A151" i="1"/>
  <c r="B151" i="1"/>
  <c r="C151" i="1"/>
  <c r="D151" i="1"/>
  <c r="E151" i="1"/>
  <c r="A152" i="1"/>
  <c r="B152" i="1"/>
  <c r="C152" i="1"/>
  <c r="D152" i="1"/>
  <c r="E152" i="1"/>
  <c r="A153" i="1"/>
  <c r="B153" i="1"/>
  <c r="C153" i="1"/>
  <c r="D153" i="1"/>
  <c r="E153" i="1"/>
  <c r="A154" i="1"/>
  <c r="B154" i="1"/>
  <c r="C154" i="1"/>
  <c r="D154" i="1"/>
  <c r="E154" i="1"/>
  <c r="A155" i="1"/>
  <c r="B155" i="1"/>
  <c r="C155" i="1"/>
  <c r="D155" i="1"/>
  <c r="E155" i="1"/>
  <c r="A156" i="1"/>
  <c r="B156" i="1"/>
  <c r="C156" i="1"/>
  <c r="D156" i="1"/>
  <c r="E156" i="1"/>
  <c r="A157" i="1"/>
  <c r="B157" i="1"/>
  <c r="C157" i="1"/>
  <c r="D157" i="1"/>
  <c r="E157" i="1"/>
  <c r="A158" i="1"/>
  <c r="B158" i="1"/>
  <c r="C158" i="1"/>
  <c r="D158" i="1"/>
  <c r="E158" i="1"/>
  <c r="A159" i="1"/>
  <c r="B159" i="1"/>
  <c r="C159" i="1"/>
  <c r="D159" i="1"/>
  <c r="E159" i="1"/>
  <c r="A160" i="1"/>
  <c r="B160" i="1"/>
  <c r="C160" i="1"/>
  <c r="D160" i="1"/>
  <c r="E160" i="1"/>
  <c r="A161" i="1"/>
  <c r="B161" i="1"/>
  <c r="C161" i="1"/>
  <c r="D161" i="1"/>
  <c r="E161" i="1"/>
  <c r="A162" i="1"/>
  <c r="B162" i="1"/>
  <c r="C162" i="1"/>
  <c r="D162" i="1"/>
  <c r="E162" i="1"/>
  <c r="A163" i="1"/>
  <c r="B163" i="1"/>
  <c r="C163" i="1"/>
  <c r="D163" i="1"/>
  <c r="E163" i="1"/>
  <c r="A164" i="1"/>
  <c r="B164" i="1"/>
  <c r="C164" i="1"/>
  <c r="D164" i="1"/>
  <c r="E164" i="1"/>
  <c r="A165" i="1"/>
  <c r="B165" i="1"/>
  <c r="C165" i="1"/>
  <c r="D165" i="1"/>
  <c r="E165" i="1"/>
  <c r="A166" i="1"/>
  <c r="B166" i="1"/>
  <c r="C166" i="1"/>
  <c r="D166" i="1"/>
  <c r="E166" i="1"/>
  <c r="A167" i="1"/>
  <c r="B167" i="1"/>
  <c r="C167" i="1"/>
  <c r="D167" i="1"/>
  <c r="E167" i="1"/>
  <c r="A168" i="1"/>
  <c r="B168" i="1"/>
  <c r="C168" i="1"/>
  <c r="D168" i="1"/>
  <c r="E168" i="1"/>
  <c r="A169" i="1"/>
  <c r="B169" i="1"/>
  <c r="C169" i="1"/>
  <c r="D169" i="1"/>
  <c r="E169" i="1"/>
  <c r="A170" i="1"/>
  <c r="B170" i="1"/>
  <c r="C170" i="1"/>
  <c r="D170" i="1"/>
  <c r="E170" i="1"/>
  <c r="A171" i="1"/>
  <c r="B171" i="1"/>
  <c r="C171" i="1"/>
  <c r="D171" i="1"/>
  <c r="E171" i="1"/>
  <c r="A172" i="1"/>
  <c r="B172" i="1"/>
  <c r="C172" i="1"/>
  <c r="D172" i="1"/>
  <c r="E172" i="1"/>
  <c r="A173" i="1"/>
  <c r="B173" i="1"/>
  <c r="C173" i="1"/>
  <c r="D173" i="1"/>
  <c r="E173" i="1"/>
  <c r="A174" i="1"/>
  <c r="B174" i="1"/>
  <c r="C174" i="1"/>
  <c r="D174" i="1"/>
  <c r="E174" i="1"/>
  <c r="A175" i="1"/>
  <c r="B175" i="1"/>
  <c r="C175" i="1"/>
  <c r="D175" i="1"/>
  <c r="E175" i="1"/>
  <c r="A176" i="1"/>
  <c r="B176" i="1"/>
  <c r="C176" i="1"/>
  <c r="D176" i="1"/>
  <c r="E176" i="1"/>
  <c r="A177" i="1"/>
  <c r="B177" i="1"/>
  <c r="C177" i="1"/>
  <c r="D177" i="1"/>
  <c r="E177" i="1"/>
  <c r="A178" i="1"/>
  <c r="B178" i="1"/>
  <c r="C178" i="1"/>
  <c r="D178" i="1"/>
  <c r="E178" i="1"/>
  <c r="A179" i="1"/>
  <c r="B179" i="1"/>
  <c r="C179" i="1"/>
  <c r="D179" i="1"/>
  <c r="E179" i="1"/>
  <c r="A180" i="1"/>
  <c r="B180" i="1"/>
  <c r="C180" i="1"/>
  <c r="D180" i="1"/>
  <c r="E180" i="1"/>
  <c r="A181" i="1"/>
  <c r="B181" i="1"/>
  <c r="C181" i="1"/>
  <c r="D181" i="1"/>
  <c r="E181" i="1"/>
  <c r="A182" i="1"/>
  <c r="B182" i="1"/>
  <c r="C182" i="1"/>
  <c r="D182" i="1"/>
  <c r="E182" i="1"/>
  <c r="A183" i="1"/>
  <c r="B183" i="1"/>
  <c r="C183" i="1"/>
  <c r="D183" i="1"/>
  <c r="E183" i="1"/>
  <c r="A184" i="1"/>
  <c r="B184" i="1"/>
  <c r="C184" i="1"/>
  <c r="D184" i="1"/>
  <c r="E184" i="1"/>
  <c r="A185" i="1"/>
  <c r="B185" i="1"/>
  <c r="C185" i="1"/>
  <c r="D185" i="1"/>
  <c r="E185" i="1"/>
  <c r="A186" i="1"/>
  <c r="B186" i="1"/>
  <c r="C186" i="1"/>
  <c r="D186" i="1"/>
  <c r="E186" i="1"/>
  <c r="A187" i="1"/>
  <c r="B187" i="1"/>
  <c r="C187" i="1"/>
  <c r="D187" i="1"/>
  <c r="E187" i="1"/>
  <c r="A188" i="1"/>
  <c r="B188" i="1"/>
  <c r="C188" i="1"/>
  <c r="D188" i="1"/>
  <c r="E188" i="1"/>
  <c r="A189" i="1"/>
  <c r="B189" i="1"/>
  <c r="C189" i="1"/>
  <c r="D189" i="1"/>
  <c r="E189" i="1"/>
  <c r="A190" i="1"/>
  <c r="B190" i="1"/>
  <c r="C190" i="1"/>
  <c r="D190" i="1"/>
  <c r="E190" i="1"/>
  <c r="A191" i="1"/>
  <c r="B191" i="1"/>
  <c r="C191" i="1"/>
  <c r="D191" i="1"/>
  <c r="E191" i="1"/>
  <c r="A192" i="1"/>
  <c r="B192" i="1"/>
  <c r="C192" i="1"/>
  <c r="D192" i="1"/>
  <c r="E192" i="1"/>
  <c r="A193" i="1"/>
  <c r="B193" i="1"/>
  <c r="C193" i="1"/>
  <c r="D193" i="1"/>
  <c r="E193" i="1"/>
  <c r="A194" i="1"/>
  <c r="B194" i="1"/>
  <c r="C194" i="1"/>
  <c r="D194" i="1"/>
  <c r="E194" i="1"/>
  <c r="A195" i="1"/>
  <c r="B195" i="1"/>
  <c r="C195" i="1"/>
  <c r="D195" i="1"/>
  <c r="E195" i="1"/>
  <c r="A196" i="1"/>
  <c r="B196" i="1"/>
  <c r="C196" i="1"/>
  <c r="D196" i="1"/>
  <c r="E196" i="1"/>
  <c r="A197" i="1"/>
  <c r="B197" i="1"/>
  <c r="C197" i="1"/>
  <c r="D197" i="1"/>
  <c r="E197" i="1"/>
  <c r="A198" i="1"/>
  <c r="B198" i="1"/>
  <c r="C198" i="1"/>
  <c r="D198" i="1"/>
  <c r="E198" i="1"/>
  <c r="A199" i="1"/>
  <c r="B199" i="1"/>
  <c r="C199" i="1"/>
  <c r="D199" i="1"/>
  <c r="E199" i="1"/>
  <c r="A200" i="1"/>
  <c r="B200" i="1"/>
  <c r="C200" i="1"/>
  <c r="D200" i="1"/>
  <c r="E200" i="1"/>
  <c r="A201" i="1"/>
  <c r="B201" i="1"/>
  <c r="C201" i="1"/>
  <c r="D201" i="1"/>
  <c r="E201" i="1"/>
  <c r="A202" i="1"/>
  <c r="B202" i="1"/>
  <c r="C202" i="1"/>
  <c r="D202" i="1"/>
  <c r="E202" i="1"/>
  <c r="A203" i="1"/>
  <c r="B203" i="1"/>
  <c r="C203" i="1"/>
  <c r="D203" i="1"/>
  <c r="E203" i="1"/>
  <c r="A204" i="1"/>
  <c r="B204" i="1"/>
  <c r="C204" i="1"/>
  <c r="D204" i="1"/>
  <c r="E204" i="1"/>
  <c r="A205" i="1"/>
  <c r="B205" i="1"/>
  <c r="C205" i="1"/>
  <c r="D205" i="1"/>
  <c r="E205" i="1"/>
  <c r="A206" i="1"/>
  <c r="B206" i="1"/>
  <c r="C206" i="1"/>
  <c r="D206" i="1"/>
  <c r="E206" i="1"/>
  <c r="A207" i="1"/>
  <c r="B207" i="1"/>
  <c r="C207" i="1"/>
  <c r="D207" i="1"/>
  <c r="E207" i="1"/>
  <c r="A208" i="1"/>
  <c r="B208" i="1"/>
  <c r="C208" i="1"/>
  <c r="D208" i="1"/>
  <c r="E208" i="1"/>
  <c r="A209" i="1"/>
  <c r="B209" i="1"/>
  <c r="C209" i="1"/>
  <c r="D209" i="1"/>
  <c r="E209" i="1"/>
  <c r="A210" i="1"/>
  <c r="B210" i="1"/>
  <c r="C210" i="1"/>
  <c r="D210" i="1"/>
  <c r="E210" i="1"/>
  <c r="A211" i="1"/>
  <c r="B211" i="1"/>
  <c r="C211" i="1"/>
  <c r="D211" i="1"/>
  <c r="E211" i="1"/>
  <c r="A212" i="1"/>
  <c r="B212" i="1"/>
  <c r="C212" i="1"/>
  <c r="D212" i="1"/>
  <c r="E212" i="1"/>
  <c r="A213" i="1"/>
  <c r="B213" i="1"/>
  <c r="C213" i="1"/>
  <c r="D213" i="1"/>
  <c r="E213" i="1"/>
  <c r="A214" i="1"/>
  <c r="B214" i="1"/>
  <c r="C214" i="1"/>
  <c r="D214" i="1"/>
  <c r="E214" i="1"/>
  <c r="A215" i="1"/>
  <c r="B215" i="1"/>
  <c r="C215" i="1"/>
  <c r="D215" i="1"/>
  <c r="E215" i="1"/>
  <c r="A216" i="1"/>
  <c r="B216" i="1"/>
  <c r="C216" i="1"/>
  <c r="D216" i="1"/>
  <c r="E216" i="1"/>
  <c r="A217" i="1"/>
  <c r="B217" i="1"/>
  <c r="C217" i="1"/>
  <c r="D217" i="1"/>
  <c r="E217" i="1"/>
  <c r="A218" i="1"/>
  <c r="B218" i="1"/>
  <c r="C218" i="1"/>
  <c r="D218" i="1"/>
  <c r="E218" i="1"/>
  <c r="A219" i="1"/>
  <c r="B219" i="1"/>
  <c r="C219" i="1"/>
  <c r="D219" i="1"/>
  <c r="E219" i="1"/>
  <c r="A220" i="1"/>
  <c r="B220" i="1"/>
  <c r="C220" i="1"/>
  <c r="D220" i="1"/>
  <c r="E220" i="1"/>
  <c r="A221" i="1"/>
  <c r="B221" i="1"/>
  <c r="C221" i="1"/>
  <c r="D221" i="1"/>
  <c r="E221" i="1"/>
  <c r="A222" i="1"/>
  <c r="B222" i="1"/>
  <c r="C222" i="1"/>
  <c r="D222" i="1"/>
  <c r="E222" i="1"/>
  <c r="A223" i="1"/>
  <c r="B223" i="1"/>
  <c r="C223" i="1"/>
  <c r="D223" i="1"/>
  <c r="E223" i="1"/>
  <c r="A224" i="1"/>
  <c r="B224" i="1"/>
  <c r="C224" i="1"/>
  <c r="D224" i="1"/>
  <c r="E224" i="1"/>
  <c r="A225" i="1"/>
  <c r="B225" i="1"/>
  <c r="C225" i="1"/>
  <c r="D225" i="1"/>
  <c r="E225" i="1"/>
  <c r="A226" i="1"/>
  <c r="B226" i="1"/>
  <c r="C226" i="1"/>
  <c r="D226" i="1"/>
  <c r="E226" i="1"/>
  <c r="A227" i="1"/>
  <c r="B227" i="1"/>
  <c r="C227" i="1"/>
  <c r="D227" i="1"/>
  <c r="E227" i="1"/>
  <c r="A228" i="1"/>
  <c r="B228" i="1"/>
  <c r="C228" i="1"/>
  <c r="D228" i="1"/>
  <c r="E228" i="1"/>
  <c r="A229" i="1"/>
  <c r="B229" i="1"/>
  <c r="C229" i="1"/>
  <c r="D229" i="1"/>
  <c r="E229" i="1"/>
  <c r="A230" i="1"/>
  <c r="B230" i="1"/>
  <c r="C230" i="1"/>
  <c r="D230" i="1"/>
  <c r="E230" i="1"/>
  <c r="A231" i="1"/>
  <c r="B231" i="1"/>
  <c r="C231" i="1"/>
  <c r="D231" i="1"/>
  <c r="E231" i="1"/>
  <c r="A232" i="1"/>
  <c r="B232" i="1"/>
  <c r="C232" i="1"/>
  <c r="D232" i="1"/>
  <c r="E232" i="1"/>
  <c r="A233" i="1"/>
  <c r="B233" i="1"/>
  <c r="C233" i="1"/>
  <c r="D233" i="1"/>
  <c r="E233" i="1"/>
  <c r="A234" i="1"/>
  <c r="B234" i="1"/>
  <c r="C234" i="1"/>
  <c r="D234" i="1"/>
  <c r="E234" i="1"/>
  <c r="A235" i="1"/>
  <c r="B235" i="1"/>
  <c r="C235" i="1"/>
  <c r="D235" i="1"/>
  <c r="E235" i="1"/>
  <c r="A236" i="1"/>
  <c r="B236" i="1"/>
  <c r="C236" i="1"/>
  <c r="D236" i="1"/>
  <c r="E236" i="1"/>
  <c r="A237" i="1"/>
  <c r="B237" i="1"/>
  <c r="C237" i="1"/>
  <c r="D237" i="1"/>
  <c r="E237" i="1"/>
  <c r="A238" i="1"/>
  <c r="B238" i="1"/>
  <c r="C238" i="1"/>
  <c r="D238" i="1"/>
  <c r="E238" i="1"/>
  <c r="A239" i="1"/>
  <c r="B239" i="1"/>
  <c r="C239" i="1"/>
  <c r="D239" i="1"/>
  <c r="E239" i="1"/>
  <c r="A240" i="1"/>
  <c r="B240" i="1"/>
  <c r="C240" i="1"/>
  <c r="D240" i="1"/>
  <c r="E240" i="1"/>
  <c r="A241" i="1"/>
  <c r="B241" i="1"/>
  <c r="C241" i="1"/>
  <c r="D241" i="1"/>
  <c r="E241" i="1"/>
  <c r="A242" i="1"/>
  <c r="B242" i="1"/>
  <c r="C242" i="1"/>
  <c r="D242" i="1"/>
  <c r="E242" i="1"/>
  <c r="A243" i="1"/>
  <c r="B243" i="1"/>
  <c r="C243" i="1"/>
  <c r="D243" i="1"/>
  <c r="E243" i="1"/>
  <c r="A244" i="1"/>
  <c r="B244" i="1"/>
  <c r="C244" i="1"/>
  <c r="D244" i="1"/>
  <c r="E244" i="1"/>
  <c r="A245" i="1"/>
  <c r="B245" i="1"/>
  <c r="C245" i="1"/>
  <c r="D245" i="1"/>
  <c r="E245" i="1"/>
  <c r="A246" i="1"/>
  <c r="B246" i="1"/>
  <c r="C246" i="1"/>
  <c r="D246" i="1"/>
  <c r="E246" i="1"/>
  <c r="A247" i="1"/>
  <c r="B247" i="1"/>
  <c r="C247" i="1"/>
  <c r="D247" i="1"/>
  <c r="E247" i="1"/>
  <c r="A248" i="1"/>
  <c r="B248" i="1"/>
  <c r="C248" i="1"/>
  <c r="D248" i="1"/>
  <c r="E248" i="1"/>
  <c r="A249" i="1"/>
  <c r="B249" i="1"/>
  <c r="C249" i="1"/>
  <c r="D249" i="1"/>
  <c r="E249" i="1"/>
  <c r="A250" i="1"/>
  <c r="B250" i="1"/>
  <c r="C250" i="1"/>
  <c r="D250" i="1"/>
  <c r="E250" i="1"/>
  <c r="A251" i="1"/>
  <c r="B251" i="1"/>
  <c r="C251" i="1"/>
  <c r="D251" i="1"/>
  <c r="E251" i="1"/>
  <c r="A252" i="1"/>
  <c r="B252" i="1"/>
  <c r="C252" i="1"/>
  <c r="D252" i="1"/>
  <c r="E252" i="1"/>
  <c r="A253" i="1"/>
  <c r="B253" i="1"/>
  <c r="C253" i="1"/>
  <c r="D253" i="1"/>
  <c r="E253" i="1"/>
  <c r="A254" i="1"/>
  <c r="B254" i="1"/>
  <c r="C254" i="1"/>
  <c r="D254" i="1"/>
  <c r="E254" i="1"/>
  <c r="A255" i="1"/>
  <c r="B255" i="1"/>
  <c r="C255" i="1"/>
  <c r="D255" i="1"/>
  <c r="E255" i="1"/>
  <c r="A256" i="1"/>
  <c r="B256" i="1"/>
  <c r="C256" i="1"/>
  <c r="D256" i="1"/>
  <c r="E256" i="1"/>
  <c r="A257" i="1"/>
  <c r="B257" i="1"/>
  <c r="C257" i="1"/>
  <c r="D257" i="1"/>
  <c r="E257" i="1"/>
  <c r="A258" i="1"/>
  <c r="B258" i="1"/>
  <c r="C258" i="1"/>
  <c r="D258" i="1"/>
  <c r="E258" i="1"/>
  <c r="A259" i="1"/>
  <c r="B259" i="1"/>
  <c r="C259" i="1"/>
  <c r="D259" i="1"/>
  <c r="E259" i="1"/>
  <c r="A260" i="1"/>
  <c r="B260" i="1"/>
  <c r="C260" i="1"/>
  <c r="D260" i="1"/>
  <c r="E260" i="1"/>
  <c r="A261" i="1"/>
  <c r="B261" i="1"/>
  <c r="C261" i="1"/>
  <c r="D261" i="1"/>
  <c r="E261" i="1"/>
  <c r="A262" i="1"/>
  <c r="B262" i="1"/>
  <c r="C262" i="1"/>
  <c r="D262" i="1"/>
  <c r="E262" i="1"/>
  <c r="A263" i="1"/>
  <c r="B263" i="1"/>
  <c r="C263" i="1"/>
  <c r="D263" i="1"/>
  <c r="E263" i="1"/>
  <c r="A264" i="1"/>
  <c r="B264" i="1"/>
  <c r="C264" i="1"/>
  <c r="D264" i="1"/>
  <c r="E264" i="1"/>
  <c r="A265" i="1"/>
  <c r="B265" i="1"/>
  <c r="C265" i="1"/>
  <c r="D265" i="1"/>
  <c r="E265" i="1"/>
  <c r="A266" i="1"/>
  <c r="B266" i="1"/>
  <c r="C266" i="1"/>
  <c r="D266" i="1"/>
  <c r="E266" i="1"/>
  <c r="A267" i="1"/>
  <c r="B267" i="1"/>
  <c r="C267" i="1"/>
  <c r="D267" i="1"/>
  <c r="E267" i="1"/>
  <c r="A268" i="1"/>
  <c r="B268" i="1"/>
  <c r="C268" i="1"/>
  <c r="D268" i="1"/>
  <c r="E268" i="1"/>
  <c r="A269" i="1"/>
  <c r="B269" i="1"/>
  <c r="C269" i="1"/>
  <c r="D269" i="1"/>
  <c r="E269" i="1"/>
  <c r="A270" i="1"/>
  <c r="B270" i="1"/>
  <c r="C270" i="1"/>
  <c r="D270" i="1"/>
  <c r="E270" i="1"/>
  <c r="A271" i="1"/>
  <c r="B271" i="1"/>
  <c r="C271" i="1"/>
  <c r="D271" i="1"/>
  <c r="E271" i="1"/>
  <c r="A272" i="1"/>
  <c r="B272" i="1"/>
  <c r="C272" i="1"/>
  <c r="D272" i="1"/>
  <c r="E272" i="1"/>
  <c r="A273" i="1"/>
  <c r="B273" i="1"/>
  <c r="C273" i="1"/>
  <c r="D273" i="1"/>
  <c r="E273" i="1"/>
  <c r="A274" i="1"/>
  <c r="B274" i="1"/>
  <c r="C274" i="1"/>
  <c r="D274" i="1"/>
  <c r="E274" i="1"/>
  <c r="A275" i="1"/>
  <c r="B275" i="1"/>
  <c r="C275" i="1"/>
  <c r="D275" i="1"/>
  <c r="E275" i="1"/>
  <c r="A276" i="1"/>
  <c r="B276" i="1"/>
  <c r="C276" i="1"/>
  <c r="D276" i="1"/>
  <c r="E276" i="1"/>
  <c r="A277" i="1"/>
  <c r="B277" i="1"/>
  <c r="C277" i="1"/>
  <c r="D277" i="1"/>
  <c r="E277" i="1"/>
  <c r="A278" i="1"/>
  <c r="B278" i="1"/>
  <c r="C278" i="1"/>
  <c r="D278" i="1"/>
  <c r="E278" i="1"/>
  <c r="A279" i="1"/>
  <c r="B279" i="1"/>
  <c r="C279" i="1"/>
  <c r="D279" i="1"/>
  <c r="E279" i="1"/>
  <c r="A280" i="1"/>
  <c r="B280" i="1"/>
  <c r="C280" i="1"/>
  <c r="D280" i="1"/>
  <c r="E280" i="1"/>
  <c r="A281" i="1"/>
  <c r="B281" i="1"/>
  <c r="C281" i="1"/>
  <c r="D281" i="1"/>
  <c r="E281" i="1"/>
  <c r="A282" i="1"/>
  <c r="B282" i="1"/>
  <c r="C282" i="1"/>
  <c r="D282" i="1"/>
  <c r="E282" i="1"/>
  <c r="A283" i="1"/>
  <c r="B283" i="1"/>
  <c r="C283" i="1"/>
  <c r="D283" i="1"/>
  <c r="E283" i="1"/>
  <c r="A284" i="1"/>
  <c r="B284" i="1"/>
  <c r="C284" i="1"/>
  <c r="D284" i="1"/>
  <c r="E284" i="1"/>
  <c r="A285" i="1"/>
  <c r="B285" i="1"/>
  <c r="C285" i="1"/>
  <c r="D285" i="1"/>
  <c r="E285" i="1"/>
  <c r="A286" i="1"/>
  <c r="B286" i="1"/>
  <c r="C286" i="1"/>
  <c r="D286" i="1"/>
  <c r="E286" i="1"/>
  <c r="A287" i="1"/>
  <c r="B287" i="1"/>
  <c r="C287" i="1"/>
  <c r="D287" i="1"/>
  <c r="E287" i="1"/>
  <c r="A288" i="1"/>
  <c r="B288" i="1"/>
  <c r="C288" i="1"/>
  <c r="D288" i="1"/>
  <c r="E288" i="1"/>
  <c r="A289" i="1"/>
  <c r="B289" i="1"/>
  <c r="C289" i="1"/>
  <c r="D289" i="1"/>
  <c r="E289" i="1"/>
  <c r="A290" i="1"/>
  <c r="B290" i="1"/>
  <c r="C290" i="1"/>
  <c r="D290" i="1"/>
  <c r="E290" i="1"/>
  <c r="A291" i="1"/>
  <c r="B291" i="1"/>
  <c r="C291" i="1"/>
  <c r="D291" i="1"/>
  <c r="E291" i="1"/>
  <c r="A292" i="1"/>
  <c r="B292" i="1"/>
  <c r="C292" i="1"/>
  <c r="D292" i="1"/>
  <c r="E292" i="1"/>
  <c r="A293" i="1"/>
  <c r="B293" i="1"/>
  <c r="C293" i="1"/>
  <c r="D293" i="1"/>
  <c r="E293" i="1"/>
  <c r="A294" i="1"/>
  <c r="B294" i="1"/>
  <c r="C294" i="1"/>
  <c r="D294" i="1"/>
  <c r="E294" i="1"/>
  <c r="A295" i="1"/>
  <c r="B295" i="1"/>
  <c r="C295" i="1"/>
  <c r="D295" i="1"/>
  <c r="E295" i="1"/>
  <c r="A296" i="1"/>
  <c r="B296" i="1"/>
  <c r="C296" i="1"/>
  <c r="D296" i="1"/>
  <c r="E296" i="1"/>
  <c r="A297" i="1"/>
  <c r="B297" i="1"/>
  <c r="C297" i="1"/>
  <c r="D297" i="1"/>
  <c r="E297" i="1"/>
  <c r="A298" i="1"/>
  <c r="B298" i="1"/>
  <c r="C298" i="1"/>
  <c r="D298" i="1"/>
  <c r="E298" i="1"/>
  <c r="A299" i="1"/>
  <c r="B299" i="1"/>
  <c r="C299" i="1"/>
  <c r="D299" i="1"/>
  <c r="E299" i="1"/>
  <c r="A300" i="1"/>
  <c r="B300" i="1"/>
  <c r="C300" i="1"/>
  <c r="D300" i="1"/>
  <c r="E300" i="1"/>
  <c r="A301" i="1"/>
  <c r="B301" i="1"/>
  <c r="C301" i="1"/>
  <c r="D301" i="1"/>
  <c r="E301" i="1"/>
  <c r="A302" i="1"/>
  <c r="B302" i="1"/>
  <c r="C302" i="1"/>
  <c r="D302" i="1"/>
  <c r="E302" i="1"/>
  <c r="A303" i="1"/>
  <c r="B303" i="1"/>
  <c r="C303" i="1"/>
  <c r="D303" i="1"/>
  <c r="E303" i="1"/>
  <c r="A304" i="1"/>
  <c r="B304" i="1"/>
  <c r="C304" i="1"/>
  <c r="D304" i="1"/>
  <c r="E304" i="1"/>
  <c r="A305" i="1"/>
  <c r="B305" i="1"/>
  <c r="C305" i="1"/>
  <c r="D305" i="1"/>
  <c r="E305" i="1"/>
  <c r="A306" i="1"/>
  <c r="B306" i="1"/>
  <c r="C306" i="1"/>
  <c r="D306" i="1"/>
  <c r="E306" i="1"/>
  <c r="A307" i="1"/>
  <c r="B307" i="1"/>
  <c r="C307" i="1"/>
  <c r="D307" i="1"/>
  <c r="E307" i="1"/>
  <c r="A308" i="1"/>
  <c r="B308" i="1"/>
  <c r="C308" i="1"/>
  <c r="D308" i="1"/>
  <c r="E308" i="1"/>
  <c r="A309" i="1"/>
  <c r="B309" i="1"/>
  <c r="C309" i="1"/>
  <c r="D309" i="1"/>
  <c r="E309" i="1"/>
  <c r="A310" i="1"/>
  <c r="B310" i="1"/>
  <c r="C310" i="1"/>
  <c r="D310" i="1"/>
  <c r="E310" i="1"/>
  <c r="A311" i="1"/>
  <c r="B311" i="1"/>
  <c r="C311" i="1"/>
  <c r="D311" i="1"/>
  <c r="E311" i="1"/>
  <c r="A312" i="1"/>
  <c r="B312" i="1"/>
  <c r="C312" i="1"/>
  <c r="D312" i="1"/>
  <c r="E312" i="1"/>
  <c r="A313" i="1"/>
  <c r="B313" i="1"/>
  <c r="C313" i="1"/>
  <c r="D313" i="1"/>
  <c r="E313" i="1"/>
  <c r="A314" i="1"/>
  <c r="B314" i="1"/>
  <c r="C314" i="1"/>
  <c r="D314" i="1"/>
  <c r="E314" i="1"/>
  <c r="A315" i="1"/>
  <c r="B315" i="1"/>
  <c r="C315" i="1"/>
  <c r="D315" i="1"/>
  <c r="E315" i="1"/>
  <c r="A316" i="1"/>
  <c r="B316" i="1"/>
  <c r="C316" i="1"/>
  <c r="D316" i="1"/>
  <c r="E316" i="1"/>
  <c r="A317" i="1"/>
  <c r="B317" i="1"/>
  <c r="C317" i="1"/>
  <c r="D317" i="1"/>
  <c r="E317" i="1"/>
  <c r="A318" i="1"/>
  <c r="B318" i="1"/>
  <c r="C318" i="1"/>
  <c r="D318" i="1"/>
  <c r="E318" i="1"/>
  <c r="A319" i="1"/>
  <c r="B319" i="1"/>
  <c r="C319" i="1"/>
  <c r="D319" i="1"/>
  <c r="E319" i="1"/>
  <c r="A320" i="1"/>
  <c r="B320" i="1"/>
  <c r="C320" i="1"/>
  <c r="D320" i="1"/>
  <c r="E320" i="1"/>
  <c r="A321" i="1"/>
  <c r="B321" i="1"/>
  <c r="C321" i="1"/>
  <c r="D321" i="1"/>
  <c r="E321" i="1"/>
  <c r="A322" i="1"/>
  <c r="B322" i="1"/>
  <c r="C322" i="1"/>
  <c r="D322" i="1"/>
  <c r="E322" i="1"/>
  <c r="A323" i="1"/>
  <c r="B323" i="1"/>
  <c r="C323" i="1"/>
  <c r="D323" i="1"/>
  <c r="E323" i="1"/>
  <c r="A324" i="1"/>
  <c r="B324" i="1"/>
  <c r="C324" i="1"/>
  <c r="D324" i="1"/>
  <c r="E324" i="1"/>
  <c r="A325" i="1"/>
  <c r="B325" i="1"/>
  <c r="C325" i="1"/>
  <c r="D325" i="1"/>
  <c r="E325" i="1"/>
  <c r="A326" i="1"/>
  <c r="B326" i="1"/>
  <c r="C326" i="1"/>
  <c r="D326" i="1"/>
  <c r="E326" i="1"/>
  <c r="A327" i="1"/>
  <c r="B327" i="1"/>
  <c r="C327" i="1"/>
  <c r="D327" i="1"/>
  <c r="E327" i="1"/>
  <c r="A328" i="1"/>
  <c r="B328" i="1"/>
  <c r="C328" i="1"/>
  <c r="D328" i="1"/>
  <c r="E328" i="1"/>
  <c r="A329" i="1"/>
  <c r="B329" i="1"/>
  <c r="C329" i="1"/>
  <c r="D329" i="1"/>
  <c r="E329" i="1"/>
  <c r="A330" i="1"/>
  <c r="B330" i="1"/>
  <c r="C330" i="1"/>
  <c r="D330" i="1"/>
  <c r="E330" i="1"/>
  <c r="A331" i="1"/>
  <c r="B331" i="1"/>
  <c r="C331" i="1"/>
  <c r="D331" i="1"/>
  <c r="E331" i="1"/>
  <c r="A332" i="1"/>
  <c r="B332" i="1"/>
  <c r="C332" i="1"/>
  <c r="D332" i="1"/>
  <c r="E332" i="1"/>
  <c r="A333" i="1"/>
  <c r="B333" i="1"/>
  <c r="C333" i="1"/>
  <c r="D333" i="1"/>
  <c r="E333" i="1"/>
  <c r="A334" i="1"/>
  <c r="B334" i="1"/>
  <c r="C334" i="1"/>
  <c r="D334" i="1"/>
  <c r="E334" i="1"/>
  <c r="A335" i="1"/>
  <c r="B335" i="1"/>
  <c r="C335" i="1"/>
  <c r="D335" i="1"/>
  <c r="E335" i="1"/>
  <c r="A336" i="1"/>
  <c r="B336" i="1"/>
  <c r="C336" i="1"/>
  <c r="D336" i="1"/>
  <c r="E336" i="1"/>
  <c r="A337" i="1"/>
  <c r="B337" i="1"/>
  <c r="C337" i="1"/>
  <c r="D337" i="1"/>
  <c r="E337" i="1"/>
  <c r="A338" i="1"/>
  <c r="B338" i="1"/>
  <c r="C338" i="1"/>
  <c r="D338" i="1"/>
  <c r="E338" i="1"/>
  <c r="A339" i="1"/>
  <c r="B339" i="1"/>
  <c r="C339" i="1"/>
  <c r="D339" i="1"/>
  <c r="E339" i="1"/>
  <c r="A340" i="1"/>
  <c r="B340" i="1"/>
  <c r="C340" i="1"/>
  <c r="D340" i="1"/>
  <c r="E340" i="1"/>
  <c r="A341" i="1"/>
  <c r="B341" i="1"/>
  <c r="C341" i="1"/>
  <c r="D341" i="1"/>
  <c r="E341" i="1"/>
  <c r="A342" i="1"/>
  <c r="B342" i="1"/>
  <c r="C342" i="1"/>
  <c r="D342" i="1"/>
  <c r="E342" i="1"/>
  <c r="A343" i="1"/>
  <c r="B343" i="1"/>
  <c r="C343" i="1"/>
  <c r="D343" i="1"/>
  <c r="E343" i="1"/>
  <c r="A344" i="1"/>
  <c r="B344" i="1"/>
  <c r="C344" i="1"/>
  <c r="D344" i="1"/>
  <c r="E344" i="1"/>
  <c r="A345" i="1"/>
  <c r="B345" i="1"/>
  <c r="C345" i="1"/>
  <c r="D345" i="1"/>
  <c r="E345" i="1"/>
  <c r="A346" i="1"/>
  <c r="B346" i="1"/>
  <c r="C346" i="1"/>
  <c r="D346" i="1"/>
  <c r="E346" i="1"/>
  <c r="A347" i="1"/>
  <c r="B347" i="1"/>
  <c r="C347" i="1"/>
  <c r="D347" i="1"/>
  <c r="E347" i="1"/>
  <c r="A348" i="1"/>
  <c r="B348" i="1"/>
  <c r="C348" i="1"/>
  <c r="D348" i="1"/>
  <c r="E348" i="1"/>
  <c r="A349" i="1"/>
  <c r="B349" i="1"/>
  <c r="C349" i="1"/>
  <c r="D349" i="1"/>
  <c r="E349" i="1"/>
  <c r="A350" i="1"/>
  <c r="B350" i="1"/>
  <c r="C350" i="1"/>
  <c r="D350" i="1"/>
  <c r="E350" i="1"/>
  <c r="A351" i="1"/>
  <c r="B351" i="1"/>
  <c r="C351" i="1"/>
  <c r="D351" i="1"/>
  <c r="E351" i="1"/>
  <c r="A352" i="1"/>
  <c r="B352" i="1"/>
  <c r="C352" i="1"/>
  <c r="D352" i="1"/>
  <c r="E352" i="1"/>
  <c r="A353" i="1"/>
  <c r="B353" i="1"/>
  <c r="C353" i="1"/>
  <c r="D353" i="1"/>
  <c r="E353" i="1"/>
  <c r="A354" i="1"/>
  <c r="B354" i="1"/>
  <c r="C354" i="1"/>
  <c r="D354" i="1"/>
  <c r="E354" i="1"/>
  <c r="A355" i="1"/>
  <c r="B355" i="1"/>
  <c r="C355" i="1"/>
  <c r="D355" i="1"/>
  <c r="E355" i="1"/>
  <c r="A356" i="1"/>
  <c r="B356" i="1"/>
  <c r="C356" i="1"/>
  <c r="D356" i="1"/>
  <c r="E356" i="1"/>
  <c r="A357" i="1"/>
  <c r="B357" i="1"/>
  <c r="C357" i="1"/>
  <c r="D357" i="1"/>
  <c r="E357" i="1"/>
  <c r="A358" i="1"/>
  <c r="B358" i="1"/>
  <c r="C358" i="1"/>
  <c r="D358" i="1"/>
  <c r="E358" i="1"/>
  <c r="A359" i="1"/>
  <c r="B359" i="1"/>
  <c r="C359" i="1"/>
  <c r="D359" i="1"/>
  <c r="E359" i="1"/>
  <c r="A360" i="1"/>
  <c r="B360" i="1"/>
  <c r="C360" i="1"/>
  <c r="D360" i="1"/>
  <c r="E360" i="1"/>
  <c r="A361" i="1"/>
  <c r="B361" i="1"/>
  <c r="C361" i="1"/>
  <c r="D361" i="1"/>
  <c r="E361" i="1"/>
  <c r="A362" i="1"/>
  <c r="B362" i="1"/>
  <c r="C362" i="1"/>
  <c r="D362" i="1"/>
  <c r="E362" i="1"/>
  <c r="A363" i="1"/>
  <c r="B363" i="1"/>
  <c r="C363" i="1"/>
  <c r="D363" i="1"/>
  <c r="E363" i="1"/>
  <c r="A364" i="1"/>
  <c r="B364" i="1"/>
  <c r="C364" i="1"/>
  <c r="D364" i="1"/>
  <c r="E364" i="1"/>
  <c r="A365" i="1"/>
  <c r="B365" i="1"/>
  <c r="C365" i="1"/>
  <c r="D365" i="1"/>
  <c r="E365" i="1"/>
  <c r="A366" i="1"/>
  <c r="B366" i="1"/>
  <c r="C366" i="1"/>
  <c r="D366" i="1"/>
  <c r="E366" i="1"/>
  <c r="A367" i="1"/>
  <c r="B367" i="1"/>
  <c r="C367" i="1"/>
  <c r="D367" i="1"/>
  <c r="E367" i="1"/>
  <c r="A368" i="1"/>
  <c r="B368" i="1"/>
  <c r="C368" i="1"/>
  <c r="D368" i="1"/>
  <c r="E368" i="1"/>
  <c r="A369" i="1"/>
  <c r="B369" i="1"/>
  <c r="C369" i="1"/>
  <c r="D369" i="1"/>
  <c r="E369" i="1"/>
  <c r="A370" i="1"/>
  <c r="B370" i="1"/>
  <c r="C370" i="1"/>
  <c r="D370" i="1"/>
  <c r="E370" i="1"/>
  <c r="A371" i="1"/>
  <c r="B371" i="1"/>
  <c r="C371" i="1"/>
  <c r="D371" i="1"/>
  <c r="E371" i="1"/>
  <c r="A372" i="1"/>
  <c r="B372" i="1"/>
  <c r="C372" i="1"/>
  <c r="D372" i="1"/>
  <c r="E372" i="1"/>
  <c r="A373" i="1"/>
  <c r="B373" i="1"/>
  <c r="C373" i="1"/>
  <c r="D373" i="1"/>
  <c r="E373" i="1"/>
  <c r="A374" i="1"/>
  <c r="B374" i="1"/>
  <c r="C374" i="1"/>
  <c r="D374" i="1"/>
  <c r="E374" i="1"/>
  <c r="A375" i="1"/>
  <c r="B375" i="1"/>
  <c r="C375" i="1"/>
  <c r="D375" i="1"/>
  <c r="E375" i="1"/>
  <c r="A376" i="1"/>
  <c r="B376" i="1"/>
  <c r="C376" i="1"/>
  <c r="D376" i="1"/>
  <c r="E376" i="1"/>
  <c r="A377" i="1"/>
  <c r="B377" i="1"/>
  <c r="C377" i="1"/>
  <c r="D377" i="1"/>
  <c r="E377" i="1"/>
  <c r="A378" i="1"/>
  <c r="B378" i="1"/>
  <c r="C378" i="1"/>
  <c r="D378" i="1"/>
  <c r="E378" i="1"/>
  <c r="A379" i="1"/>
  <c r="B379" i="1"/>
  <c r="C379" i="1"/>
  <c r="D379" i="1"/>
  <c r="E379" i="1"/>
  <c r="A380" i="1"/>
  <c r="B380" i="1"/>
  <c r="C380" i="1"/>
  <c r="D380" i="1"/>
  <c r="E380" i="1"/>
  <c r="A381" i="1"/>
  <c r="B381" i="1"/>
  <c r="C381" i="1"/>
  <c r="D381" i="1"/>
  <c r="E381" i="1"/>
  <c r="A382" i="1"/>
  <c r="B382" i="1"/>
  <c r="C382" i="1"/>
  <c r="D382" i="1"/>
  <c r="E382" i="1"/>
  <c r="A383" i="1"/>
  <c r="B383" i="1"/>
  <c r="C383" i="1"/>
  <c r="D383" i="1"/>
  <c r="E383" i="1"/>
  <c r="A384" i="1"/>
  <c r="B384" i="1"/>
  <c r="C384" i="1"/>
  <c r="D384" i="1"/>
  <c r="E384" i="1"/>
  <c r="A385" i="1"/>
  <c r="B385" i="1"/>
  <c r="C385" i="1"/>
  <c r="D385" i="1"/>
  <c r="E385" i="1"/>
  <c r="A386" i="1"/>
  <c r="B386" i="1"/>
  <c r="C386" i="1"/>
  <c r="D386" i="1"/>
  <c r="E386" i="1"/>
  <c r="A387" i="1"/>
  <c r="B387" i="1"/>
  <c r="C387" i="1"/>
  <c r="D387" i="1"/>
  <c r="E387" i="1"/>
  <c r="A388" i="1"/>
  <c r="B388" i="1"/>
  <c r="C388" i="1"/>
  <c r="D388" i="1"/>
  <c r="E388" i="1"/>
  <c r="A389" i="1"/>
  <c r="B389" i="1"/>
  <c r="C389" i="1"/>
  <c r="D389" i="1"/>
  <c r="E389" i="1"/>
  <c r="A390" i="1"/>
  <c r="B390" i="1"/>
  <c r="C390" i="1"/>
  <c r="D390" i="1"/>
  <c r="E390" i="1"/>
  <c r="A391" i="1"/>
  <c r="B391" i="1"/>
  <c r="C391" i="1"/>
  <c r="D391" i="1"/>
  <c r="E391" i="1"/>
  <c r="A392" i="1"/>
  <c r="B392" i="1"/>
  <c r="C392" i="1"/>
  <c r="D392" i="1"/>
  <c r="E392" i="1"/>
  <c r="A393" i="1"/>
  <c r="B393" i="1"/>
  <c r="C393" i="1"/>
  <c r="D393" i="1"/>
  <c r="E393" i="1"/>
  <c r="A394" i="1"/>
  <c r="B394" i="1"/>
  <c r="C394" i="1"/>
  <c r="D394" i="1"/>
  <c r="E394" i="1"/>
  <c r="A395" i="1"/>
  <c r="B395" i="1"/>
  <c r="C395" i="1"/>
  <c r="D395" i="1"/>
  <c r="E395" i="1"/>
  <c r="A396" i="1"/>
  <c r="B396" i="1"/>
  <c r="C396" i="1"/>
  <c r="D396" i="1"/>
  <c r="E396" i="1"/>
  <c r="A397" i="1"/>
  <c r="B397" i="1"/>
  <c r="C397" i="1"/>
  <c r="D397" i="1"/>
  <c r="E397" i="1"/>
  <c r="A398" i="1"/>
  <c r="B398" i="1"/>
  <c r="C398" i="1"/>
  <c r="D398" i="1"/>
  <c r="E398" i="1"/>
  <c r="A399" i="1"/>
  <c r="B399" i="1"/>
  <c r="C399" i="1"/>
  <c r="D399" i="1"/>
  <c r="E399" i="1"/>
  <c r="A400" i="1"/>
  <c r="B400" i="1"/>
  <c r="C400" i="1"/>
  <c r="D400" i="1"/>
  <c r="E400" i="1"/>
  <c r="A401" i="1"/>
  <c r="B401" i="1"/>
  <c r="C401" i="1"/>
  <c r="D401" i="1"/>
  <c r="E401" i="1"/>
  <c r="A402" i="1"/>
  <c r="B402" i="1"/>
  <c r="C402" i="1"/>
  <c r="D402" i="1"/>
  <c r="E402" i="1"/>
  <c r="A403" i="1"/>
  <c r="B403" i="1"/>
  <c r="C403" i="1"/>
  <c r="D403" i="1"/>
  <c r="E403" i="1"/>
  <c r="A404" i="1"/>
  <c r="B404" i="1"/>
  <c r="C404" i="1"/>
  <c r="D404" i="1"/>
  <c r="E404" i="1"/>
  <c r="A405" i="1"/>
  <c r="B405" i="1"/>
  <c r="C405" i="1"/>
  <c r="D405" i="1"/>
  <c r="E405" i="1"/>
  <c r="A406" i="1"/>
  <c r="B406" i="1"/>
  <c r="C406" i="1"/>
  <c r="D406" i="1"/>
  <c r="E406" i="1"/>
  <c r="A407" i="1"/>
  <c r="B407" i="1"/>
  <c r="C407" i="1"/>
  <c r="D407" i="1"/>
  <c r="E407" i="1"/>
  <c r="A408" i="1"/>
  <c r="B408" i="1"/>
  <c r="C408" i="1"/>
  <c r="D408" i="1"/>
  <c r="E408" i="1"/>
  <c r="A409" i="1"/>
  <c r="B409" i="1"/>
  <c r="C409" i="1"/>
  <c r="D409" i="1"/>
  <c r="E409" i="1"/>
  <c r="A410" i="1"/>
  <c r="B410" i="1"/>
  <c r="C410" i="1"/>
  <c r="D410" i="1"/>
  <c r="E410" i="1"/>
  <c r="A411" i="1"/>
  <c r="B411" i="1"/>
  <c r="C411" i="1"/>
  <c r="D411" i="1"/>
  <c r="E411" i="1"/>
  <c r="A412" i="1"/>
  <c r="B412" i="1"/>
  <c r="C412" i="1"/>
  <c r="D412" i="1"/>
  <c r="E412" i="1"/>
  <c r="A413" i="1"/>
  <c r="B413" i="1"/>
  <c r="C413" i="1"/>
  <c r="D413" i="1"/>
  <c r="E413" i="1"/>
  <c r="A414" i="1"/>
  <c r="B414" i="1"/>
  <c r="C414" i="1"/>
  <c r="D414" i="1"/>
  <c r="E414" i="1"/>
  <c r="A415" i="1"/>
  <c r="B415" i="1"/>
  <c r="C415" i="1"/>
  <c r="D415" i="1"/>
  <c r="E415" i="1"/>
  <c r="A416" i="1"/>
  <c r="B416" i="1"/>
  <c r="C416" i="1"/>
  <c r="D416" i="1"/>
  <c r="E416" i="1"/>
  <c r="A417" i="1"/>
  <c r="B417" i="1"/>
  <c r="C417" i="1"/>
  <c r="D417" i="1"/>
  <c r="E417" i="1"/>
  <c r="A418" i="1"/>
  <c r="B418" i="1"/>
  <c r="C418" i="1"/>
  <c r="D418" i="1"/>
  <c r="E418" i="1"/>
  <c r="A419" i="1"/>
  <c r="B419" i="1"/>
  <c r="C419" i="1"/>
  <c r="D419" i="1"/>
  <c r="E419" i="1"/>
  <c r="A420" i="1"/>
  <c r="B420" i="1"/>
  <c r="C420" i="1"/>
  <c r="D420" i="1"/>
  <c r="E420" i="1"/>
  <c r="A421" i="1"/>
  <c r="B421" i="1"/>
  <c r="C421" i="1"/>
  <c r="D421" i="1"/>
  <c r="E421" i="1"/>
  <c r="A422" i="1"/>
  <c r="B422" i="1"/>
  <c r="C422" i="1"/>
  <c r="D422" i="1"/>
  <c r="E422" i="1"/>
  <c r="A423" i="1"/>
  <c r="B423" i="1"/>
  <c r="C423" i="1"/>
  <c r="D423" i="1"/>
  <c r="E423" i="1"/>
  <c r="A424" i="1"/>
  <c r="B424" i="1"/>
  <c r="C424" i="1"/>
  <c r="D424" i="1"/>
  <c r="E424" i="1"/>
  <c r="A425" i="1"/>
  <c r="B425" i="1"/>
  <c r="C425" i="1"/>
  <c r="D425" i="1"/>
  <c r="E425" i="1"/>
  <c r="A426" i="1"/>
  <c r="B426" i="1"/>
  <c r="C426" i="1"/>
  <c r="D426" i="1"/>
  <c r="E426" i="1"/>
  <c r="A427" i="1"/>
  <c r="B427" i="1"/>
  <c r="C427" i="1"/>
  <c r="D427" i="1"/>
  <c r="E427" i="1"/>
  <c r="A428" i="1"/>
  <c r="B428" i="1"/>
  <c r="C428" i="1"/>
  <c r="D428" i="1"/>
  <c r="E428" i="1"/>
  <c r="A429" i="1"/>
  <c r="B429" i="1"/>
  <c r="C429" i="1"/>
  <c r="D429" i="1"/>
  <c r="E429" i="1"/>
  <c r="A430" i="1"/>
  <c r="B430" i="1"/>
  <c r="C430" i="1"/>
  <c r="D430" i="1"/>
  <c r="E430" i="1"/>
  <c r="A431" i="1"/>
  <c r="B431" i="1"/>
  <c r="C431" i="1"/>
  <c r="D431" i="1"/>
  <c r="E431" i="1"/>
  <c r="A432" i="1"/>
  <c r="B432" i="1"/>
  <c r="C432" i="1"/>
  <c r="D432" i="1"/>
  <c r="E432" i="1"/>
  <c r="A433" i="1"/>
  <c r="B433" i="1"/>
  <c r="C433" i="1"/>
  <c r="D433" i="1"/>
  <c r="E433" i="1"/>
  <c r="A434" i="1"/>
  <c r="B434" i="1"/>
  <c r="C434" i="1"/>
  <c r="D434" i="1"/>
  <c r="E434" i="1"/>
  <c r="A435" i="1"/>
  <c r="B435" i="1"/>
  <c r="C435" i="1"/>
  <c r="D435" i="1"/>
  <c r="E435" i="1"/>
  <c r="A436" i="1"/>
  <c r="B436" i="1"/>
  <c r="C436" i="1"/>
  <c r="D436" i="1"/>
  <c r="E436" i="1"/>
  <c r="A437" i="1"/>
  <c r="B437" i="1"/>
  <c r="C437" i="1"/>
  <c r="D437" i="1"/>
  <c r="E437" i="1"/>
  <c r="A438" i="1"/>
  <c r="B438" i="1"/>
  <c r="C438" i="1"/>
  <c r="D438" i="1"/>
  <c r="E438" i="1"/>
  <c r="A439" i="1"/>
  <c r="B439" i="1"/>
  <c r="C439" i="1"/>
  <c r="D439" i="1"/>
  <c r="E439" i="1"/>
  <c r="A440" i="1"/>
  <c r="B440" i="1"/>
  <c r="C440" i="1"/>
  <c r="D440" i="1"/>
  <c r="E440" i="1"/>
  <c r="A441" i="1"/>
  <c r="B441" i="1"/>
  <c r="C441" i="1"/>
  <c r="D441" i="1"/>
  <c r="E441" i="1"/>
  <c r="A442" i="1"/>
  <c r="B442" i="1"/>
  <c r="C442" i="1"/>
  <c r="D442" i="1"/>
  <c r="E442" i="1"/>
  <c r="A443" i="1"/>
  <c r="B443" i="1"/>
  <c r="C443" i="1"/>
  <c r="D443" i="1"/>
  <c r="E443" i="1"/>
  <c r="A444" i="1"/>
  <c r="B444" i="1"/>
  <c r="C444" i="1"/>
  <c r="D444" i="1"/>
  <c r="E444" i="1"/>
  <c r="A445" i="1"/>
  <c r="B445" i="1"/>
  <c r="C445" i="1"/>
  <c r="D445" i="1"/>
  <c r="E445" i="1"/>
  <c r="A446" i="1"/>
  <c r="B446" i="1"/>
  <c r="C446" i="1"/>
  <c r="D446" i="1"/>
  <c r="E446" i="1"/>
  <c r="A447" i="1"/>
  <c r="B447" i="1"/>
  <c r="C447" i="1"/>
  <c r="D447" i="1"/>
  <c r="E447" i="1"/>
  <c r="A448" i="1"/>
  <c r="B448" i="1"/>
  <c r="C448" i="1"/>
  <c r="D448" i="1"/>
  <c r="E448" i="1"/>
  <c r="A449" i="1"/>
  <c r="B449" i="1"/>
  <c r="C449" i="1"/>
  <c r="D449" i="1"/>
  <c r="E449" i="1"/>
  <c r="A450" i="1"/>
  <c r="B450" i="1"/>
  <c r="C450" i="1"/>
  <c r="D450" i="1"/>
  <c r="E450" i="1"/>
  <c r="A451" i="1"/>
  <c r="B451" i="1"/>
  <c r="C451" i="1"/>
  <c r="D451" i="1"/>
  <c r="E451" i="1"/>
  <c r="A452" i="1"/>
  <c r="B452" i="1"/>
  <c r="C452" i="1"/>
  <c r="D452" i="1"/>
  <c r="E452" i="1"/>
  <c r="A453" i="1"/>
  <c r="B453" i="1"/>
  <c r="C453" i="1"/>
  <c r="D453" i="1"/>
  <c r="E453" i="1"/>
  <c r="A454" i="1"/>
  <c r="B454" i="1"/>
  <c r="C454" i="1"/>
  <c r="D454" i="1"/>
  <c r="E454" i="1"/>
  <c r="A455" i="1"/>
  <c r="B455" i="1"/>
  <c r="C455" i="1"/>
  <c r="D455" i="1"/>
  <c r="E455" i="1"/>
  <c r="A456" i="1"/>
  <c r="B456" i="1"/>
  <c r="C456" i="1"/>
  <c r="D456" i="1"/>
  <c r="E456" i="1"/>
  <c r="A457" i="1"/>
  <c r="B457" i="1"/>
  <c r="C457" i="1"/>
  <c r="D457" i="1"/>
  <c r="E457" i="1"/>
  <c r="A458" i="1"/>
  <c r="B458" i="1"/>
  <c r="C458" i="1"/>
  <c r="D458" i="1"/>
  <c r="E458" i="1"/>
  <c r="A459" i="1"/>
  <c r="B459" i="1"/>
  <c r="C459" i="1"/>
  <c r="D459" i="1"/>
  <c r="E459" i="1"/>
  <c r="A460" i="1"/>
  <c r="B460" i="1"/>
  <c r="C460" i="1"/>
  <c r="D460" i="1"/>
  <c r="E460" i="1"/>
  <c r="A461" i="1"/>
  <c r="B461" i="1"/>
  <c r="C461" i="1"/>
  <c r="D461" i="1"/>
  <c r="E461" i="1"/>
  <c r="A462" i="1"/>
  <c r="B462" i="1"/>
  <c r="C462" i="1"/>
  <c r="D462" i="1"/>
  <c r="E462" i="1"/>
  <c r="A463" i="1"/>
  <c r="B463" i="1"/>
  <c r="C463" i="1"/>
  <c r="D463" i="1"/>
  <c r="E463" i="1"/>
  <c r="A464" i="1"/>
  <c r="B464" i="1"/>
  <c r="C464" i="1"/>
  <c r="D464" i="1"/>
  <c r="E464" i="1"/>
  <c r="A465" i="1"/>
  <c r="B465" i="1"/>
  <c r="C465" i="1"/>
  <c r="D465" i="1"/>
  <c r="E465" i="1"/>
  <c r="A466" i="1"/>
  <c r="B466" i="1"/>
  <c r="C466" i="1"/>
  <c r="D466" i="1"/>
  <c r="E466" i="1"/>
  <c r="A467" i="1"/>
  <c r="B467" i="1"/>
  <c r="C467" i="1"/>
  <c r="D467" i="1"/>
  <c r="E467" i="1"/>
  <c r="A468" i="1"/>
  <c r="B468" i="1"/>
  <c r="C468" i="1"/>
  <c r="D468" i="1"/>
  <c r="E468" i="1"/>
  <c r="A469" i="1"/>
  <c r="B469" i="1"/>
  <c r="C469" i="1"/>
  <c r="D469" i="1"/>
  <c r="E469" i="1"/>
  <c r="A470" i="1"/>
  <c r="B470" i="1"/>
  <c r="C470" i="1"/>
  <c r="D470" i="1"/>
  <c r="E470" i="1"/>
  <c r="A471" i="1"/>
  <c r="B471" i="1"/>
  <c r="C471" i="1"/>
  <c r="D471" i="1"/>
  <c r="E471" i="1"/>
  <c r="A472" i="1"/>
  <c r="B472" i="1"/>
  <c r="C472" i="1"/>
  <c r="D472" i="1"/>
  <c r="E472" i="1"/>
  <c r="A473" i="1"/>
  <c r="B473" i="1"/>
  <c r="C473" i="1"/>
  <c r="D473" i="1"/>
  <c r="E473" i="1"/>
  <c r="A474" i="1"/>
  <c r="B474" i="1"/>
  <c r="C474" i="1"/>
  <c r="D474" i="1"/>
  <c r="E474" i="1"/>
  <c r="A475" i="1"/>
  <c r="B475" i="1"/>
  <c r="C475" i="1"/>
  <c r="D475" i="1"/>
  <c r="E475" i="1"/>
  <c r="A476" i="1"/>
  <c r="B476" i="1"/>
  <c r="C476" i="1"/>
  <c r="D476" i="1"/>
  <c r="E476" i="1"/>
  <c r="A477" i="1"/>
  <c r="B477" i="1"/>
  <c r="C477" i="1"/>
  <c r="D477" i="1"/>
  <c r="E477" i="1"/>
  <c r="A478" i="1"/>
  <c r="B478" i="1"/>
  <c r="C478" i="1"/>
  <c r="D478" i="1"/>
  <c r="E478" i="1"/>
  <c r="A479" i="1"/>
  <c r="B479" i="1"/>
  <c r="C479" i="1"/>
  <c r="D479" i="1"/>
  <c r="E479" i="1"/>
  <c r="A480" i="1"/>
  <c r="B480" i="1"/>
  <c r="C480" i="1"/>
  <c r="D480" i="1"/>
  <c r="E480" i="1"/>
  <c r="A481" i="1"/>
  <c r="B481" i="1"/>
  <c r="C481" i="1"/>
  <c r="D481" i="1"/>
  <c r="E481" i="1"/>
  <c r="A482" i="1"/>
  <c r="B482" i="1"/>
  <c r="C482" i="1"/>
  <c r="D482" i="1"/>
  <c r="E482" i="1"/>
  <c r="A483" i="1"/>
  <c r="B483" i="1"/>
  <c r="C483" i="1"/>
  <c r="D483" i="1"/>
  <c r="E483" i="1"/>
  <c r="A484" i="1"/>
  <c r="B484" i="1"/>
  <c r="C484" i="1"/>
  <c r="D484" i="1"/>
  <c r="E484" i="1"/>
  <c r="A485" i="1"/>
  <c r="B485" i="1"/>
  <c r="C485" i="1"/>
  <c r="D485" i="1"/>
  <c r="E485" i="1"/>
  <c r="A486" i="1"/>
  <c r="B486" i="1"/>
  <c r="C486" i="1"/>
  <c r="D486" i="1"/>
  <c r="E486" i="1"/>
  <c r="A487" i="1"/>
  <c r="B487" i="1"/>
  <c r="C487" i="1"/>
  <c r="D487" i="1"/>
  <c r="E487" i="1"/>
  <c r="A488" i="1"/>
  <c r="B488" i="1"/>
  <c r="C488" i="1"/>
  <c r="D488" i="1"/>
  <c r="E488" i="1"/>
  <c r="A489" i="1"/>
  <c r="B489" i="1"/>
  <c r="C489" i="1"/>
  <c r="D489" i="1"/>
  <c r="E489" i="1"/>
  <c r="A490" i="1"/>
  <c r="B490" i="1"/>
  <c r="C490" i="1"/>
  <c r="D490" i="1"/>
  <c r="E490" i="1"/>
  <c r="A491" i="1"/>
  <c r="B491" i="1"/>
  <c r="C491" i="1"/>
  <c r="D491" i="1"/>
  <c r="E491" i="1"/>
  <c r="A492" i="1"/>
  <c r="B492" i="1"/>
  <c r="C492" i="1"/>
  <c r="D492" i="1"/>
  <c r="E492" i="1"/>
  <c r="A493" i="1"/>
  <c r="B493" i="1"/>
  <c r="C493" i="1"/>
  <c r="D493" i="1"/>
  <c r="E493" i="1"/>
  <c r="A494" i="1"/>
  <c r="B494" i="1"/>
  <c r="C494" i="1"/>
  <c r="D494" i="1"/>
  <c r="E494" i="1"/>
  <c r="A495" i="1"/>
  <c r="B495" i="1"/>
  <c r="C495" i="1"/>
  <c r="D495" i="1"/>
  <c r="E495" i="1"/>
  <c r="A496" i="1"/>
  <c r="B496" i="1"/>
  <c r="C496" i="1"/>
  <c r="D496" i="1"/>
  <c r="E496" i="1"/>
  <c r="A497" i="1"/>
  <c r="B497" i="1"/>
  <c r="C497" i="1"/>
  <c r="D497" i="1"/>
  <c r="E497" i="1"/>
  <c r="A498" i="1"/>
  <c r="B498" i="1"/>
  <c r="C498" i="1"/>
  <c r="D498" i="1"/>
  <c r="E498" i="1"/>
  <c r="A499" i="1"/>
  <c r="B499" i="1"/>
  <c r="C499" i="1"/>
  <c r="D499" i="1"/>
  <c r="E499" i="1"/>
  <c r="A500" i="1"/>
  <c r="B500" i="1"/>
  <c r="C500" i="1"/>
  <c r="D500" i="1"/>
  <c r="E500" i="1"/>
  <c r="A501" i="1"/>
  <c r="B501" i="1"/>
  <c r="C501" i="1"/>
  <c r="D501" i="1"/>
  <c r="E501" i="1"/>
  <c r="A502" i="1"/>
  <c r="B502" i="1"/>
  <c r="C502" i="1"/>
  <c r="D502" i="1"/>
  <c r="E502" i="1"/>
  <c r="A503" i="1"/>
  <c r="B503" i="1"/>
  <c r="C503" i="1"/>
  <c r="D503" i="1"/>
  <c r="E503" i="1"/>
  <c r="A504" i="1"/>
  <c r="B504" i="1"/>
  <c r="C504" i="1"/>
  <c r="D504" i="1"/>
  <c r="E504" i="1"/>
  <c r="A505" i="1"/>
  <c r="B505" i="1"/>
  <c r="C505" i="1"/>
  <c r="D505" i="1"/>
  <c r="E505" i="1"/>
  <c r="A506" i="1"/>
  <c r="B506" i="1"/>
  <c r="C506" i="1"/>
  <c r="D506" i="1"/>
  <c r="E506" i="1"/>
  <c r="A507" i="1"/>
  <c r="B507" i="1"/>
  <c r="C507" i="1"/>
  <c r="D507" i="1"/>
  <c r="E507" i="1"/>
  <c r="A508" i="1"/>
  <c r="B508" i="1"/>
  <c r="C508" i="1"/>
  <c r="D508" i="1"/>
  <c r="E508" i="1"/>
  <c r="A509" i="1"/>
  <c r="B509" i="1"/>
  <c r="C509" i="1"/>
  <c r="D509" i="1"/>
  <c r="E509" i="1"/>
  <c r="A510" i="1"/>
  <c r="B510" i="1"/>
  <c r="C510" i="1"/>
  <c r="D510" i="1"/>
  <c r="E510" i="1"/>
  <c r="A511" i="1"/>
  <c r="B511" i="1"/>
  <c r="C511" i="1"/>
  <c r="D511" i="1"/>
  <c r="E511" i="1"/>
  <c r="A512" i="1"/>
  <c r="B512" i="1"/>
  <c r="C512" i="1"/>
  <c r="D512" i="1"/>
  <c r="E512" i="1"/>
  <c r="A513" i="1"/>
  <c r="B513" i="1"/>
  <c r="C513" i="1"/>
  <c r="D513" i="1"/>
  <c r="E513" i="1"/>
  <c r="A514" i="1"/>
  <c r="B514" i="1"/>
  <c r="C514" i="1"/>
  <c r="D514" i="1"/>
  <c r="E514" i="1"/>
  <c r="A515" i="1"/>
  <c r="B515" i="1"/>
  <c r="C515" i="1"/>
  <c r="D515" i="1"/>
  <c r="E515" i="1"/>
  <c r="A516" i="1"/>
  <c r="B516" i="1"/>
  <c r="C516" i="1"/>
  <c r="D516" i="1"/>
  <c r="E516" i="1"/>
  <c r="A517" i="1"/>
  <c r="B517" i="1"/>
  <c r="C517" i="1"/>
  <c r="D517" i="1"/>
  <c r="E517" i="1"/>
  <c r="A518" i="1"/>
  <c r="B518" i="1"/>
  <c r="C518" i="1"/>
  <c r="D518" i="1"/>
  <c r="E518" i="1"/>
  <c r="A519" i="1"/>
  <c r="B519" i="1"/>
  <c r="C519" i="1"/>
  <c r="D519" i="1"/>
  <c r="E519" i="1"/>
  <c r="A520" i="1"/>
  <c r="B520" i="1"/>
  <c r="C520" i="1"/>
  <c r="D520" i="1"/>
  <c r="E520" i="1"/>
  <c r="A521" i="1"/>
  <c r="B521" i="1"/>
  <c r="C521" i="1"/>
  <c r="D521" i="1"/>
  <c r="E521" i="1"/>
  <c r="A522" i="1"/>
  <c r="B522" i="1"/>
  <c r="C522" i="1"/>
  <c r="D522" i="1"/>
  <c r="E522" i="1"/>
  <c r="A523" i="1"/>
  <c r="B523" i="1"/>
  <c r="C523" i="1"/>
  <c r="D523" i="1"/>
  <c r="E523" i="1"/>
  <c r="A524" i="1"/>
  <c r="B524" i="1"/>
  <c r="C524" i="1"/>
  <c r="D524" i="1"/>
  <c r="E524" i="1"/>
  <c r="A525" i="1"/>
  <c r="B525" i="1"/>
  <c r="C525" i="1"/>
  <c r="D525" i="1"/>
  <c r="E525" i="1"/>
  <c r="A526" i="1"/>
  <c r="B526" i="1"/>
  <c r="C526" i="1"/>
  <c r="D526" i="1"/>
  <c r="E526" i="1"/>
  <c r="A527" i="1"/>
  <c r="B527" i="1"/>
  <c r="C527" i="1"/>
  <c r="D527" i="1"/>
  <c r="E527" i="1"/>
  <c r="A528" i="1"/>
  <c r="B528" i="1"/>
  <c r="C528" i="1"/>
  <c r="D528" i="1"/>
  <c r="E528" i="1"/>
  <c r="A529" i="1"/>
  <c r="B529" i="1"/>
  <c r="C529" i="1"/>
  <c r="D529" i="1"/>
  <c r="E529" i="1"/>
  <c r="A530" i="1"/>
  <c r="B530" i="1"/>
  <c r="C530" i="1"/>
  <c r="D530" i="1"/>
  <c r="E530" i="1"/>
  <c r="A531" i="1"/>
  <c r="B531" i="1"/>
  <c r="C531" i="1"/>
  <c r="D531" i="1"/>
  <c r="E531" i="1"/>
  <c r="A532" i="1"/>
  <c r="B532" i="1"/>
  <c r="C532" i="1"/>
  <c r="D532" i="1"/>
  <c r="E532" i="1"/>
  <c r="A533" i="1"/>
  <c r="B533" i="1"/>
  <c r="C533" i="1"/>
  <c r="D533" i="1"/>
  <c r="E533" i="1"/>
  <c r="A534" i="1"/>
  <c r="B534" i="1"/>
  <c r="C534" i="1"/>
  <c r="D534" i="1"/>
  <c r="E534" i="1"/>
  <c r="A535" i="1"/>
  <c r="B535" i="1"/>
  <c r="C535" i="1"/>
  <c r="D535" i="1"/>
  <c r="E535" i="1"/>
  <c r="A536" i="1"/>
  <c r="B536" i="1"/>
  <c r="C536" i="1"/>
  <c r="D536" i="1"/>
  <c r="E536" i="1"/>
  <c r="A537" i="1"/>
  <c r="B537" i="1"/>
  <c r="C537" i="1"/>
  <c r="D537" i="1"/>
  <c r="E537" i="1"/>
  <c r="A538" i="1"/>
  <c r="B538" i="1"/>
  <c r="C538" i="1"/>
  <c r="D538" i="1"/>
  <c r="E538" i="1"/>
  <c r="A539" i="1"/>
  <c r="B539" i="1"/>
  <c r="C539" i="1"/>
  <c r="D539" i="1"/>
  <c r="E539" i="1"/>
  <c r="A540" i="1"/>
  <c r="B540" i="1"/>
  <c r="C540" i="1"/>
  <c r="D540" i="1"/>
  <c r="E540" i="1"/>
  <c r="A541" i="1"/>
  <c r="B541" i="1"/>
  <c r="C541" i="1"/>
  <c r="D541" i="1"/>
  <c r="E541" i="1"/>
  <c r="A542" i="1"/>
  <c r="B542" i="1"/>
  <c r="C542" i="1"/>
  <c r="D542" i="1"/>
  <c r="E542" i="1"/>
  <c r="A543" i="1"/>
  <c r="B543" i="1"/>
  <c r="C543" i="1"/>
  <c r="D543" i="1"/>
  <c r="E543" i="1"/>
  <c r="A544" i="1"/>
  <c r="B544" i="1"/>
  <c r="C544" i="1"/>
  <c r="D544" i="1"/>
  <c r="E544" i="1"/>
  <c r="A545" i="1"/>
  <c r="B545" i="1"/>
  <c r="C545" i="1"/>
  <c r="D545" i="1"/>
  <c r="E545" i="1"/>
  <c r="A546" i="1"/>
  <c r="B546" i="1"/>
  <c r="C546" i="1"/>
  <c r="D546" i="1"/>
  <c r="E546" i="1"/>
  <c r="A547" i="1"/>
  <c r="B547" i="1"/>
  <c r="C547" i="1"/>
  <c r="D547" i="1"/>
  <c r="E547" i="1"/>
  <c r="A548" i="1"/>
  <c r="B548" i="1"/>
  <c r="C548" i="1"/>
  <c r="D548" i="1"/>
  <c r="E548" i="1"/>
  <c r="A549" i="1"/>
  <c r="B549" i="1"/>
  <c r="C549" i="1"/>
  <c r="D549" i="1"/>
  <c r="E549" i="1"/>
  <c r="A550" i="1"/>
  <c r="B550" i="1"/>
  <c r="C550" i="1"/>
  <c r="D550" i="1"/>
  <c r="E550" i="1"/>
  <c r="A551" i="1"/>
  <c r="B551" i="1"/>
  <c r="C551" i="1"/>
  <c r="D551" i="1"/>
  <c r="E551" i="1"/>
  <c r="A552" i="1"/>
  <c r="B552" i="1"/>
  <c r="C552" i="1"/>
  <c r="D552" i="1"/>
  <c r="E552" i="1"/>
  <c r="A553" i="1"/>
  <c r="B553" i="1"/>
  <c r="C553" i="1"/>
  <c r="D553" i="1"/>
  <c r="E553" i="1"/>
  <c r="A554" i="1"/>
  <c r="B554" i="1"/>
  <c r="C554" i="1"/>
  <c r="D554" i="1"/>
  <c r="E554" i="1"/>
  <c r="A555" i="1"/>
  <c r="B555" i="1"/>
  <c r="C555" i="1"/>
  <c r="D555" i="1"/>
  <c r="E555" i="1"/>
  <c r="A556" i="1"/>
  <c r="B556" i="1"/>
  <c r="C556" i="1"/>
  <c r="D556" i="1"/>
  <c r="E556" i="1"/>
  <c r="A557" i="1"/>
  <c r="B557" i="1"/>
  <c r="C557" i="1"/>
  <c r="D557" i="1"/>
  <c r="E557" i="1"/>
  <c r="A558" i="1"/>
  <c r="B558" i="1"/>
  <c r="C558" i="1"/>
  <c r="D558" i="1"/>
  <c r="E558" i="1"/>
  <c r="A559" i="1"/>
  <c r="B559" i="1"/>
  <c r="C559" i="1"/>
  <c r="D559" i="1"/>
  <c r="E559" i="1"/>
  <c r="A560" i="1"/>
  <c r="B560" i="1"/>
  <c r="C560" i="1"/>
  <c r="D560" i="1"/>
  <c r="E560" i="1"/>
  <c r="A561" i="1"/>
  <c r="B561" i="1"/>
  <c r="C561" i="1"/>
  <c r="D561" i="1"/>
  <c r="E561" i="1"/>
  <c r="A562" i="1"/>
  <c r="B562" i="1"/>
  <c r="C562" i="1"/>
  <c r="D562" i="1"/>
  <c r="E562" i="1"/>
  <c r="A563" i="1"/>
  <c r="B563" i="1"/>
  <c r="C563" i="1"/>
  <c r="D563" i="1"/>
  <c r="E563" i="1"/>
  <c r="A564" i="1"/>
  <c r="B564" i="1"/>
  <c r="C564" i="1"/>
  <c r="D564" i="1"/>
  <c r="E564" i="1"/>
  <c r="A565" i="1"/>
  <c r="B565" i="1"/>
  <c r="C565" i="1"/>
  <c r="D565" i="1"/>
  <c r="E565" i="1"/>
  <c r="A566" i="1"/>
  <c r="B566" i="1"/>
  <c r="C566" i="1"/>
  <c r="D566" i="1"/>
  <c r="E566" i="1"/>
  <c r="A567" i="1"/>
  <c r="B567" i="1"/>
  <c r="C567" i="1"/>
  <c r="D567" i="1"/>
  <c r="E567" i="1"/>
  <c r="A568" i="1"/>
  <c r="B568" i="1"/>
  <c r="C568" i="1"/>
  <c r="D568" i="1"/>
  <c r="E568" i="1"/>
  <c r="A569" i="1"/>
  <c r="B569" i="1"/>
  <c r="C569" i="1"/>
  <c r="D569" i="1"/>
  <c r="E569" i="1"/>
  <c r="A570" i="1"/>
  <c r="B570" i="1"/>
  <c r="C570" i="1"/>
  <c r="D570" i="1"/>
  <c r="E570" i="1"/>
  <c r="A571" i="1"/>
  <c r="B571" i="1"/>
  <c r="C571" i="1"/>
  <c r="D571" i="1"/>
  <c r="E571" i="1"/>
  <c r="A572" i="1"/>
  <c r="B572" i="1"/>
  <c r="C572" i="1"/>
  <c r="D572" i="1"/>
  <c r="E572" i="1"/>
  <c r="A573" i="1"/>
  <c r="B573" i="1"/>
  <c r="C573" i="1"/>
  <c r="D573" i="1"/>
  <c r="E573" i="1"/>
  <c r="A574" i="1"/>
  <c r="B574" i="1"/>
  <c r="C574" i="1"/>
  <c r="D574" i="1"/>
  <c r="E574" i="1"/>
  <c r="A575" i="1"/>
  <c r="B575" i="1"/>
  <c r="C575" i="1"/>
  <c r="D575" i="1"/>
  <c r="E575" i="1"/>
  <c r="A576" i="1"/>
  <c r="B576" i="1"/>
  <c r="C576" i="1"/>
  <c r="D576" i="1"/>
  <c r="E576" i="1"/>
  <c r="A577" i="1"/>
  <c r="B577" i="1"/>
  <c r="C577" i="1"/>
  <c r="D577" i="1"/>
  <c r="E577" i="1"/>
  <c r="A578" i="1"/>
  <c r="B578" i="1"/>
  <c r="C578" i="1"/>
  <c r="D578" i="1"/>
  <c r="E578" i="1"/>
  <c r="A579" i="1"/>
  <c r="B579" i="1"/>
  <c r="C579" i="1"/>
  <c r="D579" i="1"/>
  <c r="E579" i="1"/>
  <c r="A580" i="1"/>
  <c r="B580" i="1"/>
  <c r="C580" i="1"/>
  <c r="D580" i="1"/>
  <c r="E580" i="1"/>
  <c r="A581" i="1"/>
  <c r="B581" i="1"/>
  <c r="C581" i="1"/>
  <c r="D581" i="1"/>
  <c r="E581" i="1"/>
  <c r="A582" i="1"/>
  <c r="B582" i="1"/>
  <c r="C582" i="1"/>
  <c r="D582" i="1"/>
  <c r="E582" i="1"/>
  <c r="A583" i="1"/>
  <c r="B583" i="1"/>
  <c r="C583" i="1"/>
  <c r="D583" i="1"/>
  <c r="E583" i="1"/>
  <c r="A584" i="1"/>
  <c r="B584" i="1"/>
  <c r="C584" i="1"/>
  <c r="D584" i="1"/>
  <c r="E584" i="1"/>
  <c r="A585" i="1"/>
  <c r="B585" i="1"/>
  <c r="C585" i="1"/>
  <c r="D585" i="1"/>
  <c r="E585" i="1"/>
  <c r="A586" i="1"/>
  <c r="B586" i="1"/>
  <c r="C586" i="1"/>
  <c r="D586" i="1"/>
  <c r="E586" i="1"/>
  <c r="A587" i="1"/>
  <c r="B587" i="1"/>
  <c r="C587" i="1"/>
  <c r="D587" i="1"/>
  <c r="E587" i="1"/>
  <c r="A588" i="1"/>
  <c r="B588" i="1"/>
  <c r="C588" i="1"/>
  <c r="D588" i="1"/>
  <c r="E588" i="1"/>
  <c r="A589" i="1"/>
  <c r="B589" i="1"/>
  <c r="C589" i="1"/>
  <c r="D589" i="1"/>
  <c r="E589" i="1"/>
  <c r="A590" i="1"/>
  <c r="B590" i="1"/>
  <c r="C590" i="1"/>
  <c r="D590" i="1"/>
  <c r="E590" i="1"/>
  <c r="A591" i="1"/>
  <c r="B591" i="1"/>
  <c r="C591" i="1"/>
  <c r="D591" i="1"/>
  <c r="E591" i="1"/>
  <c r="A592" i="1"/>
  <c r="B592" i="1"/>
  <c r="C592" i="1"/>
  <c r="D592" i="1"/>
  <c r="E592" i="1"/>
  <c r="A593" i="1"/>
  <c r="B593" i="1"/>
  <c r="C593" i="1"/>
  <c r="D593" i="1"/>
  <c r="E593" i="1"/>
  <c r="A594" i="1"/>
  <c r="B594" i="1"/>
  <c r="C594" i="1"/>
  <c r="D594" i="1"/>
  <c r="E594" i="1"/>
  <c r="A595" i="1"/>
  <c r="B595" i="1"/>
  <c r="C595" i="1"/>
  <c r="D595" i="1"/>
  <c r="E595" i="1"/>
  <c r="A596" i="1"/>
  <c r="B596" i="1"/>
  <c r="C596" i="1"/>
  <c r="D596" i="1"/>
  <c r="E596" i="1"/>
  <c r="A597" i="1"/>
  <c r="B597" i="1"/>
  <c r="C597" i="1"/>
  <c r="D597" i="1"/>
  <c r="E597" i="1"/>
  <c r="A598" i="1"/>
  <c r="B598" i="1"/>
  <c r="C598" i="1"/>
  <c r="D598" i="1"/>
  <c r="E598" i="1"/>
  <c r="A599" i="1"/>
  <c r="B599" i="1"/>
  <c r="C599" i="1"/>
  <c r="D599" i="1"/>
  <c r="E599" i="1"/>
  <c r="A600" i="1"/>
  <c r="B600" i="1"/>
  <c r="C600" i="1"/>
  <c r="D600" i="1"/>
  <c r="E600" i="1"/>
  <c r="A601" i="1"/>
  <c r="B601" i="1"/>
  <c r="C601" i="1"/>
  <c r="D601" i="1"/>
  <c r="E601" i="1"/>
  <c r="A602" i="1"/>
  <c r="B602" i="1"/>
  <c r="C602" i="1"/>
  <c r="D602" i="1"/>
  <c r="E602" i="1"/>
  <c r="A603" i="1"/>
  <c r="B603" i="1"/>
  <c r="C603" i="1"/>
  <c r="D603" i="1"/>
  <c r="E603" i="1"/>
  <c r="A604" i="1"/>
  <c r="B604" i="1"/>
  <c r="C604" i="1"/>
  <c r="D604" i="1"/>
  <c r="E604" i="1"/>
  <c r="A605" i="1"/>
  <c r="B605" i="1"/>
  <c r="C605" i="1"/>
  <c r="D605" i="1"/>
  <c r="E605" i="1"/>
  <c r="A606" i="1"/>
  <c r="B606" i="1"/>
  <c r="C606" i="1"/>
  <c r="D606" i="1"/>
  <c r="E606" i="1"/>
  <c r="A607" i="1"/>
  <c r="B607" i="1"/>
  <c r="C607" i="1"/>
  <c r="D607" i="1"/>
  <c r="E607" i="1"/>
  <c r="A608" i="1"/>
  <c r="B608" i="1"/>
  <c r="C608" i="1"/>
  <c r="D608" i="1"/>
  <c r="E608" i="1"/>
  <c r="A609" i="1"/>
  <c r="B609" i="1"/>
  <c r="C609" i="1"/>
  <c r="D609" i="1"/>
  <c r="E609" i="1"/>
  <c r="A610" i="1"/>
  <c r="B610" i="1"/>
  <c r="C610" i="1"/>
  <c r="D610" i="1"/>
  <c r="E610" i="1"/>
  <c r="A611" i="1"/>
  <c r="B611" i="1"/>
  <c r="C611" i="1"/>
  <c r="D611" i="1"/>
  <c r="E611" i="1"/>
  <c r="A612" i="1"/>
  <c r="B612" i="1"/>
  <c r="C612" i="1"/>
  <c r="D612" i="1"/>
  <c r="E612" i="1"/>
  <c r="A613" i="1"/>
  <c r="B613" i="1"/>
  <c r="C613" i="1"/>
  <c r="D613" i="1"/>
  <c r="E613" i="1"/>
  <c r="A614" i="1"/>
  <c r="B614" i="1"/>
  <c r="C614" i="1"/>
  <c r="D614" i="1"/>
  <c r="E614" i="1"/>
  <c r="A615" i="1"/>
  <c r="B615" i="1"/>
  <c r="C615" i="1"/>
  <c r="D615" i="1"/>
  <c r="E615" i="1"/>
  <c r="A616" i="1"/>
  <c r="B616" i="1"/>
  <c r="C616" i="1"/>
  <c r="D616" i="1"/>
  <c r="E616" i="1"/>
  <c r="A617" i="1"/>
  <c r="B617" i="1"/>
  <c r="C617" i="1"/>
  <c r="D617" i="1"/>
  <c r="E617" i="1"/>
  <c r="A618" i="1"/>
  <c r="B618" i="1"/>
  <c r="C618" i="1"/>
  <c r="D618" i="1"/>
  <c r="E618" i="1"/>
  <c r="A619" i="1"/>
  <c r="B619" i="1"/>
  <c r="C619" i="1"/>
  <c r="D619" i="1"/>
  <c r="E619" i="1"/>
  <c r="A620" i="1"/>
  <c r="B620" i="1"/>
  <c r="C620" i="1"/>
  <c r="D620" i="1"/>
  <c r="E620" i="1"/>
  <c r="A621" i="1"/>
  <c r="B621" i="1"/>
  <c r="C621" i="1"/>
  <c r="D621" i="1"/>
  <c r="E621" i="1"/>
  <c r="A622" i="1"/>
  <c r="B622" i="1"/>
  <c r="C622" i="1"/>
  <c r="D622" i="1"/>
  <c r="E622" i="1"/>
  <c r="A623" i="1"/>
  <c r="B623" i="1"/>
  <c r="C623" i="1"/>
  <c r="D623" i="1"/>
  <c r="E623" i="1"/>
  <c r="A624" i="1"/>
  <c r="B624" i="1"/>
  <c r="C624" i="1"/>
  <c r="D624" i="1"/>
  <c r="E624" i="1"/>
  <c r="A625" i="1"/>
  <c r="B625" i="1"/>
  <c r="C625" i="1"/>
  <c r="D625" i="1"/>
  <c r="E625" i="1"/>
  <c r="A626" i="1"/>
  <c r="B626" i="1"/>
  <c r="C626" i="1"/>
  <c r="D626" i="1"/>
  <c r="E626" i="1"/>
  <c r="A627" i="1"/>
  <c r="B627" i="1"/>
  <c r="C627" i="1"/>
  <c r="D627" i="1"/>
  <c r="E627" i="1"/>
  <c r="A628" i="1"/>
  <c r="B628" i="1"/>
  <c r="C628" i="1"/>
  <c r="D628" i="1"/>
  <c r="E628" i="1"/>
  <c r="A629" i="1"/>
  <c r="B629" i="1"/>
  <c r="C629" i="1"/>
  <c r="D629" i="1"/>
  <c r="E629" i="1"/>
  <c r="A630" i="1"/>
  <c r="B630" i="1"/>
  <c r="C630" i="1"/>
  <c r="D630" i="1"/>
  <c r="E630" i="1"/>
  <c r="A631" i="1"/>
  <c r="B631" i="1"/>
  <c r="C631" i="1"/>
  <c r="D631" i="1"/>
  <c r="E631" i="1"/>
  <c r="A632" i="1"/>
  <c r="B632" i="1"/>
  <c r="C632" i="1"/>
  <c r="D632" i="1"/>
  <c r="E632" i="1"/>
  <c r="A633" i="1"/>
  <c r="B633" i="1"/>
  <c r="C633" i="1"/>
  <c r="D633" i="1"/>
  <c r="E633" i="1"/>
  <c r="A634" i="1"/>
  <c r="B634" i="1"/>
  <c r="C634" i="1"/>
  <c r="D634" i="1"/>
  <c r="E634" i="1"/>
  <c r="A635" i="1"/>
  <c r="B635" i="1"/>
  <c r="C635" i="1"/>
  <c r="D635" i="1"/>
  <c r="E635" i="1"/>
  <c r="A636" i="1"/>
  <c r="B636" i="1"/>
  <c r="C636" i="1"/>
  <c r="D636" i="1"/>
  <c r="E636" i="1"/>
  <c r="A637" i="1"/>
  <c r="B637" i="1"/>
  <c r="C637" i="1"/>
  <c r="D637" i="1"/>
  <c r="E637" i="1"/>
  <c r="A638" i="1"/>
  <c r="B638" i="1"/>
  <c r="C638" i="1"/>
  <c r="D638" i="1"/>
  <c r="E638" i="1"/>
  <c r="A639" i="1"/>
  <c r="B639" i="1"/>
  <c r="C639" i="1"/>
  <c r="D639" i="1"/>
  <c r="E639" i="1"/>
  <c r="A640" i="1"/>
  <c r="B640" i="1"/>
  <c r="C640" i="1"/>
  <c r="D640" i="1"/>
  <c r="E640" i="1"/>
  <c r="A641" i="1"/>
  <c r="B641" i="1"/>
  <c r="C641" i="1"/>
  <c r="D641" i="1"/>
  <c r="E641" i="1"/>
  <c r="A642" i="1"/>
  <c r="B642" i="1"/>
  <c r="C642" i="1"/>
  <c r="D642" i="1"/>
  <c r="E642" i="1"/>
  <c r="A643" i="1"/>
  <c r="B643" i="1"/>
  <c r="C643" i="1"/>
  <c r="D643" i="1"/>
  <c r="E643" i="1"/>
  <c r="A644" i="1"/>
  <c r="B644" i="1"/>
  <c r="C644" i="1"/>
  <c r="D644" i="1"/>
  <c r="E644" i="1"/>
  <c r="A645" i="1"/>
  <c r="B645" i="1"/>
  <c r="C645" i="1"/>
  <c r="D645" i="1"/>
  <c r="E645" i="1"/>
  <c r="A646" i="1"/>
  <c r="B646" i="1"/>
  <c r="C646" i="1"/>
  <c r="D646" i="1"/>
  <c r="E646" i="1"/>
  <c r="A647" i="1"/>
  <c r="B647" i="1"/>
  <c r="C647" i="1"/>
  <c r="D647" i="1"/>
  <c r="E647" i="1"/>
  <c r="A648" i="1"/>
  <c r="B648" i="1"/>
  <c r="C648" i="1"/>
  <c r="D648" i="1"/>
  <c r="E648" i="1"/>
  <c r="A649" i="1"/>
  <c r="B649" i="1"/>
  <c r="C649" i="1"/>
  <c r="D649" i="1"/>
  <c r="E649" i="1"/>
  <c r="A650" i="1"/>
  <c r="B650" i="1"/>
  <c r="C650" i="1"/>
  <c r="D650" i="1"/>
  <c r="E650" i="1"/>
  <c r="A651" i="1"/>
  <c r="B651" i="1"/>
  <c r="C651" i="1"/>
  <c r="D651" i="1"/>
  <c r="E651" i="1"/>
  <c r="A652" i="1"/>
  <c r="B652" i="1"/>
  <c r="C652" i="1"/>
  <c r="D652" i="1"/>
  <c r="E652" i="1"/>
  <c r="A653" i="1"/>
  <c r="B653" i="1"/>
  <c r="C653" i="1"/>
  <c r="D653" i="1"/>
  <c r="E653" i="1"/>
  <c r="A654" i="1"/>
  <c r="B654" i="1"/>
  <c r="C654" i="1"/>
  <c r="D654" i="1"/>
  <c r="E654" i="1"/>
  <c r="A655" i="1"/>
  <c r="B655" i="1"/>
  <c r="C655" i="1"/>
  <c r="D655" i="1"/>
  <c r="E655" i="1"/>
  <c r="A656" i="1"/>
  <c r="B656" i="1"/>
  <c r="C656" i="1"/>
  <c r="D656" i="1"/>
  <c r="E656" i="1"/>
  <c r="A657" i="1"/>
  <c r="B657" i="1"/>
  <c r="C657" i="1"/>
  <c r="D657" i="1"/>
  <c r="E657" i="1"/>
  <c r="A658" i="1"/>
  <c r="B658" i="1"/>
  <c r="C658" i="1"/>
  <c r="D658" i="1"/>
  <c r="E658" i="1"/>
  <c r="A659" i="1"/>
  <c r="B659" i="1"/>
  <c r="C659" i="1"/>
  <c r="D659" i="1"/>
  <c r="E659" i="1"/>
  <c r="A660" i="1"/>
  <c r="B660" i="1"/>
  <c r="C660" i="1"/>
  <c r="D660" i="1"/>
  <c r="E660" i="1"/>
  <c r="A661" i="1"/>
  <c r="B661" i="1"/>
  <c r="C661" i="1"/>
  <c r="D661" i="1"/>
  <c r="E661" i="1"/>
  <c r="A662" i="1"/>
  <c r="B662" i="1"/>
  <c r="C662" i="1"/>
  <c r="D662" i="1"/>
  <c r="E662" i="1"/>
  <c r="A663" i="1"/>
  <c r="B663" i="1"/>
  <c r="C663" i="1"/>
  <c r="D663" i="1"/>
  <c r="E663" i="1"/>
  <c r="A664" i="1"/>
  <c r="B664" i="1"/>
  <c r="C664" i="1"/>
  <c r="D664" i="1"/>
  <c r="E664" i="1"/>
  <c r="A665" i="1"/>
  <c r="B665" i="1"/>
  <c r="C665" i="1"/>
  <c r="D665" i="1"/>
  <c r="E665" i="1"/>
  <c r="A666" i="1"/>
  <c r="B666" i="1"/>
  <c r="C666" i="1"/>
  <c r="D666" i="1"/>
  <c r="E666" i="1"/>
  <c r="A667" i="1"/>
  <c r="B667" i="1"/>
  <c r="C667" i="1"/>
  <c r="D667" i="1"/>
  <c r="E667" i="1"/>
  <c r="A668" i="1"/>
  <c r="B668" i="1"/>
  <c r="C668" i="1"/>
  <c r="D668" i="1"/>
  <c r="E668" i="1"/>
  <c r="A669" i="1"/>
  <c r="B669" i="1"/>
  <c r="C669" i="1"/>
  <c r="D669" i="1"/>
  <c r="E669" i="1"/>
  <c r="A670" i="1"/>
  <c r="B670" i="1"/>
  <c r="C670" i="1"/>
  <c r="D670" i="1"/>
  <c r="E670" i="1"/>
  <c r="A671" i="1"/>
  <c r="B671" i="1"/>
  <c r="C671" i="1"/>
  <c r="D671" i="1"/>
  <c r="E671" i="1"/>
  <c r="A672" i="1"/>
  <c r="B672" i="1"/>
  <c r="C672" i="1"/>
  <c r="D672" i="1"/>
  <c r="E672" i="1"/>
  <c r="A673" i="1"/>
  <c r="B673" i="1"/>
  <c r="C673" i="1"/>
  <c r="D673" i="1"/>
  <c r="E673" i="1"/>
  <c r="A674" i="1"/>
  <c r="B674" i="1"/>
  <c r="C674" i="1"/>
  <c r="D674" i="1"/>
  <c r="E674" i="1"/>
  <c r="A675" i="1"/>
  <c r="B675" i="1"/>
  <c r="C675" i="1"/>
  <c r="D675" i="1"/>
  <c r="E675" i="1"/>
  <c r="A676" i="1"/>
  <c r="B676" i="1"/>
  <c r="C676" i="1"/>
  <c r="D676" i="1"/>
  <c r="E676" i="1"/>
  <c r="A677" i="1"/>
  <c r="B677" i="1"/>
  <c r="C677" i="1"/>
  <c r="D677" i="1"/>
  <c r="E677" i="1"/>
  <c r="A678" i="1"/>
  <c r="B678" i="1"/>
  <c r="C678" i="1"/>
  <c r="D678" i="1"/>
  <c r="E678" i="1"/>
  <c r="A679" i="1"/>
  <c r="B679" i="1"/>
  <c r="C679" i="1"/>
  <c r="D679" i="1"/>
  <c r="E679" i="1"/>
  <c r="A680" i="1"/>
  <c r="B680" i="1"/>
  <c r="C680" i="1"/>
  <c r="D680" i="1"/>
  <c r="E680" i="1"/>
  <c r="A681" i="1"/>
  <c r="B681" i="1"/>
  <c r="C681" i="1"/>
  <c r="D681" i="1"/>
  <c r="E681" i="1"/>
  <c r="A682" i="1"/>
  <c r="B682" i="1"/>
  <c r="C682" i="1"/>
  <c r="D682" i="1"/>
  <c r="E682" i="1"/>
  <c r="A683" i="1"/>
  <c r="B683" i="1"/>
  <c r="C683" i="1"/>
  <c r="D683" i="1"/>
  <c r="E683" i="1"/>
  <c r="A684" i="1"/>
  <c r="B684" i="1"/>
  <c r="C684" i="1"/>
  <c r="D684" i="1"/>
  <c r="E684" i="1"/>
  <c r="A685" i="1"/>
  <c r="B685" i="1"/>
  <c r="C685" i="1"/>
  <c r="D685" i="1"/>
  <c r="E685" i="1"/>
  <c r="A686" i="1"/>
  <c r="B686" i="1"/>
  <c r="C686" i="1"/>
  <c r="D686" i="1"/>
  <c r="E686" i="1"/>
  <c r="A687" i="1"/>
  <c r="B687" i="1"/>
  <c r="C687" i="1"/>
  <c r="D687" i="1"/>
  <c r="E687" i="1"/>
  <c r="A688" i="1"/>
  <c r="B688" i="1"/>
  <c r="C688" i="1"/>
  <c r="D688" i="1"/>
  <c r="E688" i="1"/>
  <c r="A689" i="1"/>
  <c r="B689" i="1"/>
  <c r="C689" i="1"/>
  <c r="D689" i="1"/>
  <c r="E689" i="1"/>
  <c r="A690" i="1"/>
  <c r="B690" i="1"/>
  <c r="C690" i="1"/>
  <c r="D690" i="1"/>
  <c r="E690" i="1"/>
  <c r="A691" i="1"/>
  <c r="B691" i="1"/>
  <c r="C691" i="1"/>
  <c r="D691" i="1"/>
  <c r="E691" i="1"/>
  <c r="A692" i="1"/>
  <c r="B692" i="1"/>
  <c r="C692" i="1"/>
  <c r="D692" i="1"/>
  <c r="E692" i="1"/>
  <c r="A693" i="1"/>
  <c r="B693" i="1"/>
  <c r="C693" i="1"/>
  <c r="D693" i="1"/>
  <c r="E693" i="1"/>
  <c r="A694" i="1"/>
  <c r="B694" i="1"/>
  <c r="C694" i="1"/>
  <c r="D694" i="1"/>
  <c r="E694" i="1"/>
  <c r="A695" i="1"/>
  <c r="B695" i="1"/>
  <c r="C695" i="1"/>
  <c r="D695" i="1"/>
  <c r="E695" i="1"/>
  <c r="A696" i="1"/>
  <c r="B696" i="1"/>
  <c r="C696" i="1"/>
  <c r="D696" i="1"/>
  <c r="E696" i="1"/>
  <c r="A697" i="1"/>
  <c r="B697" i="1"/>
  <c r="C697" i="1"/>
  <c r="D697" i="1"/>
  <c r="E697" i="1"/>
  <c r="A698" i="1"/>
  <c r="B698" i="1"/>
  <c r="C698" i="1"/>
  <c r="D698" i="1"/>
  <c r="E698" i="1"/>
  <c r="A699" i="1"/>
  <c r="B699" i="1"/>
  <c r="C699" i="1"/>
  <c r="D699" i="1"/>
  <c r="E699" i="1"/>
  <c r="A700" i="1"/>
  <c r="B700" i="1"/>
  <c r="C700" i="1"/>
  <c r="D700" i="1"/>
  <c r="E700" i="1"/>
  <c r="A701" i="1"/>
  <c r="B701" i="1"/>
  <c r="C701" i="1"/>
  <c r="D701" i="1"/>
  <c r="E701" i="1"/>
  <c r="A702" i="1"/>
  <c r="B702" i="1"/>
  <c r="C702" i="1"/>
  <c r="D702" i="1"/>
  <c r="E702" i="1"/>
  <c r="A703" i="1"/>
  <c r="B703" i="1"/>
  <c r="C703" i="1"/>
  <c r="D703" i="1"/>
  <c r="E703" i="1"/>
  <c r="A704" i="1"/>
  <c r="B704" i="1"/>
  <c r="C704" i="1"/>
  <c r="D704" i="1"/>
  <c r="E704" i="1"/>
  <c r="A705" i="1"/>
  <c r="B705" i="1"/>
  <c r="C705" i="1"/>
  <c r="D705" i="1"/>
  <c r="E705" i="1"/>
  <c r="A706" i="1"/>
  <c r="B706" i="1"/>
  <c r="C706" i="1"/>
  <c r="D706" i="1"/>
  <c r="E706" i="1"/>
  <c r="A707" i="1"/>
  <c r="B707" i="1"/>
  <c r="C707" i="1"/>
  <c r="D707" i="1"/>
  <c r="E707" i="1"/>
  <c r="A708" i="1"/>
  <c r="B708" i="1"/>
  <c r="C708" i="1"/>
  <c r="D708" i="1"/>
  <c r="E708" i="1"/>
  <c r="A709" i="1"/>
  <c r="B709" i="1"/>
  <c r="C709" i="1"/>
  <c r="D709" i="1"/>
  <c r="E709" i="1"/>
  <c r="A710" i="1"/>
  <c r="B710" i="1"/>
  <c r="C710" i="1"/>
  <c r="D710" i="1"/>
  <c r="E710" i="1"/>
  <c r="A711" i="1"/>
  <c r="B711" i="1"/>
  <c r="C711" i="1"/>
  <c r="D711" i="1"/>
  <c r="E711" i="1"/>
  <c r="A712" i="1"/>
  <c r="B712" i="1"/>
  <c r="C712" i="1"/>
  <c r="D712" i="1"/>
  <c r="E712" i="1"/>
  <c r="A713" i="1"/>
  <c r="B713" i="1"/>
  <c r="C713" i="1"/>
  <c r="D713" i="1"/>
  <c r="E713" i="1"/>
  <c r="A714" i="1"/>
  <c r="B714" i="1"/>
  <c r="C714" i="1"/>
  <c r="D714" i="1"/>
  <c r="E714" i="1"/>
  <c r="A715" i="1"/>
  <c r="B715" i="1"/>
  <c r="C715" i="1"/>
  <c r="D715" i="1"/>
  <c r="E715" i="1"/>
  <c r="A716" i="1"/>
  <c r="B716" i="1"/>
  <c r="C716" i="1"/>
  <c r="D716" i="1"/>
  <c r="E716" i="1"/>
  <c r="A717" i="1"/>
  <c r="B717" i="1"/>
  <c r="C717" i="1"/>
  <c r="D717" i="1"/>
  <c r="E717" i="1"/>
  <c r="A718" i="1"/>
  <c r="B718" i="1"/>
  <c r="C718" i="1"/>
  <c r="D718" i="1"/>
  <c r="E718" i="1"/>
  <c r="A719" i="1"/>
  <c r="B719" i="1"/>
  <c r="C719" i="1"/>
  <c r="D719" i="1"/>
  <c r="E719" i="1"/>
  <c r="A720" i="1"/>
  <c r="B720" i="1"/>
  <c r="C720" i="1"/>
  <c r="D720" i="1"/>
  <c r="E720" i="1"/>
  <c r="A721" i="1"/>
  <c r="B721" i="1"/>
  <c r="C721" i="1"/>
  <c r="D721" i="1"/>
  <c r="E721" i="1"/>
  <c r="A722" i="1"/>
  <c r="B722" i="1"/>
  <c r="C722" i="1"/>
  <c r="D722" i="1"/>
  <c r="E722" i="1"/>
  <c r="A723" i="1"/>
  <c r="B723" i="1"/>
  <c r="C723" i="1"/>
  <c r="D723" i="1"/>
  <c r="E723" i="1"/>
  <c r="A724" i="1"/>
  <c r="B724" i="1"/>
  <c r="C724" i="1"/>
  <c r="D724" i="1"/>
  <c r="E724" i="1"/>
  <c r="A725" i="1"/>
  <c r="B725" i="1"/>
  <c r="C725" i="1"/>
  <c r="D725" i="1"/>
  <c r="E725" i="1"/>
  <c r="A726" i="1"/>
  <c r="B726" i="1"/>
  <c r="C726" i="1"/>
  <c r="D726" i="1"/>
  <c r="E726" i="1"/>
  <c r="A727" i="1"/>
  <c r="B727" i="1"/>
  <c r="C727" i="1"/>
  <c r="D727" i="1"/>
  <c r="E727" i="1"/>
  <c r="A728" i="1"/>
  <c r="B728" i="1"/>
  <c r="C728" i="1"/>
  <c r="D728" i="1"/>
  <c r="E728" i="1"/>
  <c r="A729" i="1"/>
  <c r="B729" i="1"/>
  <c r="C729" i="1"/>
  <c r="D729" i="1"/>
  <c r="E729" i="1"/>
  <c r="A730" i="1"/>
  <c r="B730" i="1"/>
  <c r="C730" i="1"/>
  <c r="D730" i="1"/>
  <c r="E730" i="1"/>
  <c r="A731" i="1"/>
  <c r="B731" i="1"/>
  <c r="C731" i="1"/>
  <c r="D731" i="1"/>
  <c r="E731" i="1"/>
  <c r="A732" i="1"/>
  <c r="B732" i="1"/>
  <c r="C732" i="1"/>
  <c r="D732" i="1"/>
  <c r="E732" i="1"/>
  <c r="A733" i="1"/>
  <c r="B733" i="1"/>
  <c r="C733" i="1"/>
  <c r="D733" i="1"/>
  <c r="E733" i="1"/>
  <c r="A734" i="1"/>
  <c r="B734" i="1"/>
  <c r="C734" i="1"/>
  <c r="D734" i="1"/>
  <c r="E734" i="1"/>
  <c r="A735" i="1"/>
  <c r="B735" i="1"/>
  <c r="C735" i="1"/>
  <c r="D735" i="1"/>
  <c r="E735" i="1"/>
  <c r="A736" i="1"/>
  <c r="B736" i="1"/>
  <c r="C736" i="1"/>
  <c r="D736" i="1"/>
  <c r="E736" i="1"/>
  <c r="A737" i="1"/>
  <c r="B737" i="1"/>
  <c r="C737" i="1"/>
  <c r="D737" i="1"/>
  <c r="E737" i="1"/>
  <c r="A738" i="1"/>
  <c r="B738" i="1"/>
  <c r="C738" i="1"/>
  <c r="D738" i="1"/>
  <c r="E738" i="1"/>
  <c r="A739" i="1"/>
  <c r="B739" i="1"/>
  <c r="C739" i="1"/>
  <c r="D739" i="1"/>
  <c r="E739" i="1"/>
  <c r="A740" i="1"/>
  <c r="B740" i="1"/>
  <c r="C740" i="1"/>
  <c r="D740" i="1"/>
  <c r="E740" i="1"/>
  <c r="A741" i="1"/>
  <c r="B741" i="1"/>
  <c r="C741" i="1"/>
  <c r="D741" i="1"/>
  <c r="E741" i="1"/>
  <c r="A742" i="1"/>
  <c r="B742" i="1"/>
  <c r="C742" i="1"/>
  <c r="D742" i="1"/>
  <c r="E742" i="1"/>
  <c r="A743" i="1"/>
  <c r="B743" i="1"/>
  <c r="C743" i="1"/>
  <c r="D743" i="1"/>
  <c r="E743" i="1"/>
  <c r="A744" i="1"/>
  <c r="B744" i="1"/>
  <c r="C744" i="1"/>
  <c r="D744" i="1"/>
  <c r="E744" i="1"/>
  <c r="A745" i="1"/>
  <c r="B745" i="1"/>
  <c r="C745" i="1"/>
  <c r="D745" i="1"/>
  <c r="E745" i="1"/>
  <c r="A746" i="1"/>
  <c r="B746" i="1"/>
  <c r="C746" i="1"/>
  <c r="D746" i="1"/>
  <c r="E746" i="1"/>
  <c r="A747" i="1"/>
  <c r="B747" i="1"/>
  <c r="C747" i="1"/>
  <c r="D747" i="1"/>
  <c r="E747" i="1"/>
  <c r="A748" i="1"/>
  <c r="B748" i="1"/>
  <c r="C748" i="1"/>
  <c r="D748" i="1"/>
  <c r="E748" i="1"/>
  <c r="A749" i="1"/>
  <c r="B749" i="1"/>
  <c r="C749" i="1"/>
  <c r="D749" i="1"/>
  <c r="E749" i="1"/>
  <c r="A750" i="1"/>
  <c r="B750" i="1"/>
  <c r="C750" i="1"/>
  <c r="D750" i="1"/>
  <c r="E750" i="1"/>
  <c r="A751" i="1"/>
  <c r="B751" i="1"/>
  <c r="C751" i="1"/>
  <c r="D751" i="1"/>
  <c r="E751" i="1"/>
  <c r="A752" i="1"/>
  <c r="B752" i="1"/>
  <c r="C752" i="1"/>
  <c r="D752" i="1"/>
  <c r="E752" i="1"/>
  <c r="A753" i="1"/>
  <c r="B753" i="1"/>
  <c r="C753" i="1"/>
  <c r="D753" i="1"/>
  <c r="E753" i="1"/>
  <c r="A754" i="1"/>
  <c r="B754" i="1"/>
  <c r="C754" i="1"/>
  <c r="D754" i="1"/>
  <c r="E754" i="1"/>
  <c r="A755" i="1"/>
  <c r="B755" i="1"/>
  <c r="C755" i="1"/>
  <c r="D755" i="1"/>
  <c r="E755" i="1"/>
  <c r="A756" i="1"/>
  <c r="B756" i="1"/>
  <c r="C756" i="1"/>
  <c r="D756" i="1"/>
  <c r="E756" i="1"/>
  <c r="A757" i="1"/>
  <c r="B757" i="1"/>
  <c r="C757" i="1"/>
  <c r="D757" i="1"/>
  <c r="E757" i="1"/>
  <c r="A758" i="1"/>
  <c r="B758" i="1"/>
  <c r="C758" i="1"/>
  <c r="D758" i="1"/>
  <c r="E758" i="1"/>
  <c r="A759" i="1"/>
  <c r="B759" i="1"/>
  <c r="C759" i="1"/>
  <c r="D759" i="1"/>
  <c r="E759" i="1"/>
  <c r="A760" i="1"/>
  <c r="B760" i="1"/>
  <c r="C760" i="1"/>
  <c r="D760" i="1"/>
  <c r="E760" i="1"/>
  <c r="A761" i="1"/>
  <c r="B761" i="1"/>
  <c r="C761" i="1"/>
  <c r="D761" i="1"/>
  <c r="E761" i="1"/>
  <c r="A762" i="1"/>
  <c r="B762" i="1"/>
  <c r="C762" i="1"/>
  <c r="D762" i="1"/>
  <c r="E762" i="1"/>
  <c r="A763" i="1"/>
  <c r="B763" i="1"/>
  <c r="C763" i="1"/>
  <c r="D763" i="1"/>
  <c r="E763" i="1"/>
  <c r="A764" i="1"/>
  <c r="B764" i="1"/>
  <c r="C764" i="1"/>
  <c r="D764" i="1"/>
  <c r="E764" i="1"/>
  <c r="A765" i="1"/>
  <c r="B765" i="1"/>
  <c r="C765" i="1"/>
  <c r="D765" i="1"/>
  <c r="E765" i="1"/>
  <c r="A766" i="1"/>
  <c r="B766" i="1"/>
  <c r="C766" i="1"/>
  <c r="D766" i="1"/>
  <c r="E766" i="1"/>
  <c r="A767" i="1"/>
  <c r="B767" i="1"/>
  <c r="C767" i="1"/>
  <c r="D767" i="1"/>
  <c r="E767" i="1"/>
  <c r="A768" i="1"/>
  <c r="B768" i="1"/>
  <c r="C768" i="1"/>
  <c r="D768" i="1"/>
  <c r="E768" i="1"/>
  <c r="A769" i="1"/>
  <c r="B769" i="1"/>
  <c r="C769" i="1"/>
  <c r="D769" i="1"/>
  <c r="E769" i="1"/>
  <c r="A770" i="1"/>
  <c r="B770" i="1"/>
  <c r="C770" i="1"/>
  <c r="D770" i="1"/>
  <c r="E770" i="1"/>
  <c r="A771" i="1"/>
  <c r="B771" i="1"/>
  <c r="C771" i="1"/>
  <c r="D771" i="1"/>
  <c r="E771" i="1"/>
  <c r="A772" i="1"/>
  <c r="B772" i="1"/>
  <c r="C772" i="1"/>
  <c r="D772" i="1"/>
  <c r="E772" i="1"/>
  <c r="A773" i="1"/>
  <c r="B773" i="1"/>
  <c r="C773" i="1"/>
  <c r="D773" i="1"/>
  <c r="E773" i="1"/>
  <c r="A774" i="1"/>
  <c r="B774" i="1"/>
  <c r="C774" i="1"/>
  <c r="D774" i="1"/>
  <c r="E774" i="1"/>
  <c r="A775" i="1"/>
  <c r="B775" i="1"/>
  <c r="C775" i="1"/>
  <c r="D775" i="1"/>
  <c r="E775" i="1"/>
  <c r="A776" i="1"/>
  <c r="B776" i="1"/>
  <c r="C776" i="1"/>
  <c r="D776" i="1"/>
  <c r="E776" i="1"/>
  <c r="A777" i="1"/>
  <c r="B777" i="1"/>
  <c r="C777" i="1"/>
  <c r="D777" i="1"/>
  <c r="E777" i="1"/>
  <c r="A778" i="1"/>
  <c r="B778" i="1"/>
  <c r="C778" i="1"/>
  <c r="D778" i="1"/>
  <c r="E778" i="1"/>
  <c r="A779" i="1"/>
  <c r="B779" i="1"/>
  <c r="C779" i="1"/>
  <c r="D779" i="1"/>
  <c r="E779" i="1"/>
  <c r="A780" i="1"/>
  <c r="B780" i="1"/>
  <c r="C780" i="1"/>
  <c r="D780" i="1"/>
  <c r="E780" i="1"/>
  <c r="A781" i="1"/>
  <c r="B781" i="1"/>
  <c r="C781" i="1"/>
  <c r="D781" i="1"/>
  <c r="E781" i="1"/>
  <c r="A782" i="1"/>
  <c r="B782" i="1"/>
  <c r="C782" i="1"/>
  <c r="D782" i="1"/>
  <c r="E782" i="1"/>
  <c r="A783" i="1"/>
  <c r="B783" i="1"/>
  <c r="C783" i="1"/>
  <c r="D783" i="1"/>
  <c r="E783" i="1"/>
  <c r="A784" i="1"/>
  <c r="B784" i="1"/>
  <c r="C784" i="1"/>
  <c r="D784" i="1"/>
  <c r="E784" i="1"/>
  <c r="A785" i="1"/>
  <c r="B785" i="1"/>
  <c r="C785" i="1"/>
  <c r="D785" i="1"/>
  <c r="E785" i="1"/>
  <c r="A786" i="1"/>
  <c r="B786" i="1"/>
  <c r="C786" i="1"/>
  <c r="D786" i="1"/>
  <c r="E786" i="1"/>
  <c r="A787" i="1"/>
  <c r="B787" i="1"/>
  <c r="C787" i="1"/>
  <c r="D787" i="1"/>
  <c r="E787" i="1"/>
  <c r="A788" i="1"/>
  <c r="B788" i="1"/>
  <c r="C788" i="1"/>
  <c r="D788" i="1"/>
  <c r="E788" i="1"/>
  <c r="A789" i="1"/>
  <c r="B789" i="1"/>
  <c r="C789" i="1"/>
  <c r="D789" i="1"/>
  <c r="E789" i="1"/>
  <c r="A790" i="1"/>
  <c r="B790" i="1"/>
  <c r="C790" i="1"/>
  <c r="D790" i="1"/>
  <c r="E790" i="1"/>
  <c r="A791" i="1"/>
  <c r="B791" i="1"/>
  <c r="C791" i="1"/>
  <c r="D791" i="1"/>
  <c r="E791" i="1"/>
  <c r="A792" i="1"/>
  <c r="B792" i="1"/>
  <c r="C792" i="1"/>
  <c r="D792" i="1"/>
  <c r="E792" i="1"/>
  <c r="A793" i="1"/>
  <c r="B793" i="1"/>
  <c r="C793" i="1"/>
  <c r="D793" i="1"/>
  <c r="E793" i="1"/>
  <c r="A794" i="1"/>
  <c r="B794" i="1"/>
  <c r="C794" i="1"/>
  <c r="D794" i="1"/>
  <c r="E794" i="1"/>
  <c r="A795" i="1"/>
  <c r="B795" i="1"/>
  <c r="C795" i="1"/>
  <c r="D795" i="1"/>
  <c r="E795" i="1"/>
  <c r="A796" i="1"/>
  <c r="B796" i="1"/>
  <c r="C796" i="1"/>
  <c r="D796" i="1"/>
  <c r="E796" i="1"/>
  <c r="A797" i="1"/>
  <c r="B797" i="1"/>
  <c r="C797" i="1"/>
  <c r="D797" i="1"/>
  <c r="E797" i="1"/>
  <c r="A798" i="1"/>
  <c r="B798" i="1"/>
  <c r="C798" i="1"/>
  <c r="D798" i="1"/>
  <c r="E798" i="1"/>
  <c r="A799" i="1"/>
  <c r="B799" i="1"/>
  <c r="C799" i="1"/>
  <c r="D799" i="1"/>
  <c r="E799" i="1"/>
  <c r="A800" i="1"/>
  <c r="B800" i="1"/>
  <c r="C800" i="1"/>
  <c r="D800" i="1"/>
  <c r="E800" i="1"/>
  <c r="A801" i="1"/>
  <c r="B801" i="1"/>
  <c r="C801" i="1"/>
  <c r="D801" i="1"/>
  <c r="E801" i="1"/>
  <c r="A802" i="1"/>
  <c r="B802" i="1"/>
  <c r="C802" i="1"/>
  <c r="D802" i="1"/>
  <c r="E802" i="1"/>
  <c r="A803" i="1"/>
  <c r="B803" i="1"/>
  <c r="C803" i="1"/>
  <c r="D803" i="1"/>
  <c r="E803" i="1"/>
  <c r="A804" i="1"/>
  <c r="B804" i="1"/>
  <c r="C804" i="1"/>
  <c r="D804" i="1"/>
  <c r="E804" i="1"/>
  <c r="A805" i="1"/>
  <c r="B805" i="1"/>
  <c r="C805" i="1"/>
  <c r="D805" i="1"/>
  <c r="E805" i="1"/>
  <c r="A806" i="1"/>
  <c r="B806" i="1"/>
  <c r="C806" i="1"/>
  <c r="D806" i="1"/>
  <c r="E806" i="1"/>
  <c r="A807" i="1"/>
  <c r="B807" i="1"/>
  <c r="C807" i="1"/>
  <c r="D807" i="1"/>
  <c r="E807" i="1"/>
  <c r="A808" i="1"/>
  <c r="B808" i="1"/>
  <c r="C808" i="1"/>
  <c r="D808" i="1"/>
  <c r="E808" i="1"/>
  <c r="A809" i="1"/>
  <c r="B809" i="1"/>
  <c r="C809" i="1"/>
  <c r="D809" i="1"/>
  <c r="E809" i="1"/>
  <c r="A810" i="1"/>
  <c r="B810" i="1"/>
  <c r="C810" i="1"/>
  <c r="D810" i="1"/>
  <c r="E810" i="1"/>
  <c r="A811" i="1"/>
  <c r="B811" i="1"/>
  <c r="C811" i="1"/>
  <c r="D811" i="1"/>
  <c r="E811" i="1"/>
  <c r="A812" i="1"/>
  <c r="B812" i="1"/>
  <c r="C812" i="1"/>
  <c r="D812" i="1"/>
  <c r="E812" i="1"/>
  <c r="A813" i="1"/>
  <c r="B813" i="1"/>
  <c r="C813" i="1"/>
  <c r="D813" i="1"/>
  <c r="E813" i="1"/>
  <c r="A814" i="1"/>
  <c r="B814" i="1"/>
  <c r="C814" i="1"/>
  <c r="D814" i="1"/>
  <c r="E814" i="1"/>
  <c r="A815" i="1"/>
  <c r="B815" i="1"/>
  <c r="C815" i="1"/>
  <c r="D815" i="1"/>
  <c r="E815" i="1"/>
  <c r="A816" i="1"/>
  <c r="B816" i="1"/>
  <c r="C816" i="1"/>
  <c r="D816" i="1"/>
  <c r="E816" i="1"/>
  <c r="A817" i="1"/>
  <c r="B817" i="1"/>
  <c r="C817" i="1"/>
  <c r="D817" i="1"/>
  <c r="E817" i="1"/>
  <c r="A818" i="1"/>
  <c r="B818" i="1"/>
  <c r="C818" i="1"/>
  <c r="D818" i="1"/>
  <c r="E818" i="1"/>
  <c r="A819" i="1"/>
  <c r="B819" i="1"/>
  <c r="C819" i="1"/>
  <c r="D819" i="1"/>
  <c r="E819" i="1"/>
  <c r="A820" i="1"/>
  <c r="B820" i="1"/>
  <c r="C820" i="1"/>
  <c r="D820" i="1"/>
  <c r="E820" i="1"/>
  <c r="A821" i="1"/>
  <c r="B821" i="1"/>
  <c r="C821" i="1"/>
  <c r="D821" i="1"/>
  <c r="E821" i="1"/>
  <c r="A822" i="1"/>
  <c r="B822" i="1"/>
  <c r="C822" i="1"/>
  <c r="D822" i="1"/>
  <c r="E822" i="1"/>
  <c r="A823" i="1"/>
  <c r="B823" i="1"/>
  <c r="C823" i="1"/>
  <c r="D823" i="1"/>
  <c r="E823" i="1"/>
  <c r="A824" i="1"/>
  <c r="B824" i="1"/>
  <c r="C824" i="1"/>
  <c r="D824" i="1"/>
  <c r="E824" i="1"/>
  <c r="A825" i="1"/>
  <c r="B825" i="1"/>
  <c r="C825" i="1"/>
  <c r="D825" i="1"/>
  <c r="E825" i="1"/>
  <c r="A826" i="1"/>
  <c r="B826" i="1"/>
  <c r="C826" i="1"/>
  <c r="D826" i="1"/>
  <c r="E826" i="1"/>
  <c r="A827" i="1"/>
  <c r="B827" i="1"/>
  <c r="C827" i="1"/>
  <c r="D827" i="1"/>
  <c r="E827" i="1"/>
  <c r="A828" i="1"/>
  <c r="B828" i="1"/>
  <c r="C828" i="1"/>
  <c r="D828" i="1"/>
  <c r="E828" i="1"/>
  <c r="A829" i="1"/>
  <c r="B829" i="1"/>
  <c r="C829" i="1"/>
  <c r="D829" i="1"/>
  <c r="E829" i="1"/>
  <c r="A830" i="1"/>
  <c r="B830" i="1"/>
  <c r="C830" i="1"/>
  <c r="D830" i="1"/>
  <c r="E830" i="1"/>
  <c r="A831" i="1"/>
  <c r="B831" i="1"/>
  <c r="C831" i="1"/>
  <c r="D831" i="1"/>
  <c r="E831" i="1"/>
  <c r="A832" i="1"/>
  <c r="B832" i="1"/>
  <c r="C832" i="1"/>
  <c r="D832" i="1"/>
  <c r="E832" i="1"/>
  <c r="A833" i="1"/>
  <c r="B833" i="1"/>
  <c r="C833" i="1"/>
  <c r="D833" i="1"/>
  <c r="E833" i="1"/>
  <c r="A834" i="1"/>
  <c r="B834" i="1"/>
  <c r="C834" i="1"/>
  <c r="D834" i="1"/>
  <c r="E834" i="1"/>
  <c r="A835" i="1"/>
  <c r="B835" i="1"/>
  <c r="C835" i="1"/>
  <c r="D835" i="1"/>
  <c r="E835" i="1"/>
  <c r="A836" i="1"/>
  <c r="B836" i="1"/>
  <c r="C836" i="1"/>
  <c r="D836" i="1"/>
  <c r="E836" i="1"/>
  <c r="A837" i="1"/>
  <c r="B837" i="1"/>
  <c r="C837" i="1"/>
  <c r="D837" i="1"/>
  <c r="E837" i="1"/>
  <c r="A838" i="1"/>
  <c r="B838" i="1"/>
  <c r="C838" i="1"/>
  <c r="D838" i="1"/>
  <c r="E838" i="1"/>
  <c r="A839" i="1"/>
  <c r="B839" i="1"/>
  <c r="C839" i="1"/>
  <c r="D839" i="1"/>
  <c r="E839" i="1"/>
  <c r="A840" i="1"/>
  <c r="B840" i="1"/>
  <c r="C840" i="1"/>
  <c r="D840" i="1"/>
  <c r="E840" i="1"/>
  <c r="A841" i="1"/>
  <c r="B841" i="1"/>
  <c r="C841" i="1"/>
  <c r="D841" i="1"/>
  <c r="E841" i="1"/>
  <c r="A842" i="1"/>
  <c r="B842" i="1"/>
  <c r="C842" i="1"/>
  <c r="D842" i="1"/>
  <c r="E842" i="1"/>
  <c r="A843" i="1"/>
  <c r="B843" i="1"/>
  <c r="C843" i="1"/>
  <c r="D843" i="1"/>
  <c r="E843" i="1"/>
  <c r="A844" i="1"/>
  <c r="B844" i="1"/>
  <c r="C844" i="1"/>
  <c r="D844" i="1"/>
  <c r="E844" i="1"/>
  <c r="A845" i="1"/>
  <c r="B845" i="1"/>
  <c r="C845" i="1"/>
  <c r="D845" i="1"/>
  <c r="E845" i="1"/>
  <c r="A846" i="1"/>
  <c r="B846" i="1"/>
  <c r="C846" i="1"/>
  <c r="D846" i="1"/>
  <c r="E846" i="1"/>
  <c r="A847" i="1"/>
  <c r="B847" i="1"/>
  <c r="C847" i="1"/>
  <c r="D847" i="1"/>
  <c r="E847" i="1"/>
  <c r="A848" i="1"/>
  <c r="B848" i="1"/>
  <c r="C848" i="1"/>
  <c r="D848" i="1"/>
  <c r="E848" i="1"/>
  <c r="A849" i="1"/>
  <c r="B849" i="1"/>
  <c r="C849" i="1"/>
  <c r="D849" i="1"/>
  <c r="E849" i="1"/>
  <c r="A850" i="1"/>
  <c r="B850" i="1"/>
  <c r="C850" i="1"/>
  <c r="D850" i="1"/>
  <c r="E850" i="1"/>
  <c r="A851" i="1"/>
  <c r="B851" i="1"/>
  <c r="C851" i="1"/>
  <c r="D851" i="1"/>
  <c r="E851" i="1"/>
  <c r="A852" i="1"/>
  <c r="B852" i="1"/>
  <c r="C852" i="1"/>
  <c r="D852" i="1"/>
  <c r="E852" i="1"/>
  <c r="A853" i="1"/>
  <c r="B853" i="1"/>
  <c r="C853" i="1"/>
  <c r="D853" i="1"/>
  <c r="E853" i="1"/>
  <c r="A854" i="1"/>
  <c r="B854" i="1"/>
  <c r="C854" i="1"/>
  <c r="D854" i="1"/>
  <c r="E854" i="1"/>
  <c r="A855" i="1"/>
  <c r="B855" i="1"/>
  <c r="C855" i="1"/>
  <c r="D855" i="1"/>
  <c r="E855" i="1"/>
  <c r="A856" i="1"/>
  <c r="B856" i="1"/>
  <c r="C856" i="1"/>
  <c r="D856" i="1"/>
  <c r="E856" i="1"/>
  <c r="A857" i="1"/>
  <c r="B857" i="1"/>
  <c r="C857" i="1"/>
  <c r="D857" i="1"/>
  <c r="E857" i="1"/>
  <c r="A858" i="1"/>
  <c r="B858" i="1"/>
  <c r="C858" i="1"/>
  <c r="D858" i="1"/>
  <c r="E858" i="1"/>
  <c r="A859" i="1"/>
  <c r="B859" i="1"/>
  <c r="C859" i="1"/>
  <c r="D859" i="1"/>
  <c r="E859" i="1"/>
  <c r="A860" i="1"/>
  <c r="B860" i="1"/>
  <c r="C860" i="1"/>
  <c r="D860" i="1"/>
  <c r="E860" i="1"/>
  <c r="A861" i="1"/>
  <c r="B861" i="1"/>
  <c r="C861" i="1"/>
  <c r="D861" i="1"/>
  <c r="E861" i="1"/>
  <c r="A862" i="1"/>
  <c r="B862" i="1"/>
  <c r="C862" i="1"/>
  <c r="D862" i="1"/>
  <c r="E862" i="1"/>
  <c r="A863" i="1"/>
  <c r="B863" i="1"/>
  <c r="C863" i="1"/>
  <c r="D863" i="1"/>
  <c r="E863" i="1"/>
  <c r="A864" i="1"/>
  <c r="B864" i="1"/>
  <c r="C864" i="1"/>
  <c r="D864" i="1"/>
  <c r="E864" i="1"/>
  <c r="A865" i="1"/>
  <c r="B865" i="1"/>
  <c r="C865" i="1"/>
  <c r="D865" i="1"/>
  <c r="E865" i="1"/>
  <c r="A866" i="1"/>
  <c r="B866" i="1"/>
  <c r="C866" i="1"/>
  <c r="D866" i="1"/>
  <c r="E866" i="1"/>
  <c r="A867" i="1"/>
  <c r="B867" i="1"/>
  <c r="C867" i="1"/>
  <c r="D867" i="1"/>
  <c r="E867" i="1"/>
  <c r="A868" i="1"/>
  <c r="B868" i="1"/>
  <c r="C868" i="1"/>
  <c r="D868" i="1"/>
  <c r="E868" i="1"/>
  <c r="A869" i="1"/>
  <c r="B869" i="1"/>
  <c r="C869" i="1"/>
  <c r="D869" i="1"/>
  <c r="E869" i="1"/>
  <c r="A870" i="1"/>
  <c r="B870" i="1"/>
  <c r="C870" i="1"/>
  <c r="D870" i="1"/>
  <c r="E870" i="1"/>
  <c r="A871" i="1"/>
  <c r="B871" i="1"/>
  <c r="C871" i="1"/>
  <c r="D871" i="1"/>
  <c r="E871" i="1"/>
  <c r="A872" i="1"/>
  <c r="B872" i="1"/>
  <c r="C872" i="1"/>
  <c r="D872" i="1"/>
  <c r="E872" i="1"/>
  <c r="A873" i="1"/>
  <c r="B873" i="1"/>
  <c r="C873" i="1"/>
  <c r="D873" i="1"/>
  <c r="E873" i="1"/>
  <c r="A874" i="1"/>
  <c r="B874" i="1"/>
  <c r="C874" i="1"/>
  <c r="D874" i="1"/>
  <c r="E874" i="1"/>
  <c r="A875" i="1"/>
  <c r="B875" i="1"/>
  <c r="C875" i="1"/>
  <c r="D875" i="1"/>
  <c r="E875" i="1"/>
  <c r="A876" i="1"/>
  <c r="B876" i="1"/>
  <c r="C876" i="1"/>
  <c r="D876" i="1"/>
  <c r="E876" i="1"/>
  <c r="A877" i="1"/>
  <c r="B877" i="1"/>
  <c r="C877" i="1"/>
  <c r="D877" i="1"/>
  <c r="E877" i="1"/>
  <c r="A878" i="1"/>
  <c r="B878" i="1"/>
  <c r="C878" i="1"/>
  <c r="D878" i="1"/>
  <c r="E878" i="1"/>
  <c r="A879" i="1"/>
  <c r="B879" i="1"/>
  <c r="C879" i="1"/>
  <c r="D879" i="1"/>
  <c r="E879" i="1"/>
  <c r="A880" i="1"/>
  <c r="B880" i="1"/>
  <c r="C880" i="1"/>
  <c r="D880" i="1"/>
  <c r="E880" i="1"/>
  <c r="A881" i="1"/>
  <c r="B881" i="1"/>
  <c r="C881" i="1"/>
  <c r="D881" i="1"/>
  <c r="E881" i="1"/>
  <c r="A882" i="1"/>
  <c r="B882" i="1"/>
  <c r="C882" i="1"/>
  <c r="D882" i="1"/>
  <c r="E882" i="1"/>
  <c r="A883" i="1"/>
  <c r="B883" i="1"/>
  <c r="C883" i="1"/>
  <c r="D883" i="1"/>
  <c r="E883" i="1"/>
  <c r="A884" i="1"/>
  <c r="B884" i="1"/>
  <c r="C884" i="1"/>
  <c r="D884" i="1"/>
  <c r="E884" i="1"/>
  <c r="A885" i="1"/>
  <c r="B885" i="1"/>
  <c r="C885" i="1"/>
  <c r="D885" i="1"/>
  <c r="E885" i="1"/>
  <c r="A886" i="1"/>
  <c r="B886" i="1"/>
  <c r="C886" i="1"/>
  <c r="D886" i="1"/>
  <c r="E886" i="1"/>
  <c r="A887" i="1"/>
  <c r="B887" i="1"/>
  <c r="C887" i="1"/>
  <c r="D887" i="1"/>
  <c r="E887" i="1"/>
  <c r="A888" i="1"/>
  <c r="B888" i="1"/>
  <c r="C888" i="1"/>
  <c r="D888" i="1"/>
  <c r="E888" i="1"/>
  <c r="A889" i="1"/>
  <c r="B889" i="1"/>
  <c r="C889" i="1"/>
  <c r="D889" i="1"/>
  <c r="E889" i="1"/>
  <c r="A890" i="1"/>
  <c r="B890" i="1"/>
  <c r="C890" i="1"/>
  <c r="D890" i="1"/>
  <c r="E890" i="1"/>
  <c r="A891" i="1"/>
  <c r="B891" i="1"/>
  <c r="C891" i="1"/>
  <c r="D891" i="1"/>
  <c r="E891" i="1"/>
  <c r="A892" i="1"/>
  <c r="B892" i="1"/>
  <c r="C892" i="1"/>
  <c r="D892" i="1"/>
  <c r="E892" i="1"/>
  <c r="A893" i="1"/>
  <c r="B893" i="1"/>
  <c r="C893" i="1"/>
  <c r="D893" i="1"/>
  <c r="E893" i="1"/>
  <c r="A894" i="1"/>
  <c r="B894" i="1"/>
  <c r="C894" i="1"/>
  <c r="D894" i="1"/>
  <c r="E894" i="1"/>
  <c r="A895" i="1"/>
  <c r="B895" i="1"/>
  <c r="C895" i="1"/>
  <c r="D895" i="1"/>
  <c r="E895" i="1"/>
  <c r="A896" i="1"/>
  <c r="B896" i="1"/>
  <c r="C896" i="1"/>
  <c r="D896" i="1"/>
  <c r="E896" i="1"/>
  <c r="A897" i="1"/>
  <c r="B897" i="1"/>
  <c r="C897" i="1"/>
  <c r="D897" i="1"/>
  <c r="E897" i="1"/>
  <c r="A898" i="1"/>
  <c r="B898" i="1"/>
  <c r="C898" i="1"/>
  <c r="D898" i="1"/>
  <c r="E898" i="1"/>
  <c r="A899" i="1"/>
  <c r="B899" i="1"/>
  <c r="C899" i="1"/>
  <c r="D899" i="1"/>
  <c r="E899" i="1"/>
  <c r="A900" i="1"/>
  <c r="B900" i="1"/>
  <c r="C900" i="1"/>
  <c r="D900" i="1"/>
  <c r="E900" i="1"/>
  <c r="A901" i="1"/>
  <c r="B901" i="1"/>
  <c r="C901" i="1"/>
  <c r="D901" i="1"/>
  <c r="E901" i="1"/>
  <c r="A902" i="1"/>
  <c r="B902" i="1"/>
  <c r="C902" i="1"/>
  <c r="D902" i="1"/>
  <c r="E902" i="1"/>
  <c r="A903" i="1"/>
  <c r="B903" i="1"/>
  <c r="C903" i="1"/>
  <c r="D903" i="1"/>
  <c r="E903" i="1"/>
  <c r="A904" i="1"/>
  <c r="B904" i="1"/>
  <c r="C904" i="1"/>
  <c r="D904" i="1"/>
  <c r="E904" i="1"/>
  <c r="A905" i="1"/>
  <c r="B905" i="1"/>
  <c r="C905" i="1"/>
  <c r="D905" i="1"/>
  <c r="E905" i="1"/>
  <c r="A906" i="1"/>
  <c r="B906" i="1"/>
  <c r="C906" i="1"/>
  <c r="D906" i="1"/>
  <c r="E906" i="1"/>
  <c r="A907" i="1"/>
  <c r="B907" i="1"/>
  <c r="C907" i="1"/>
  <c r="D907" i="1"/>
  <c r="E907" i="1"/>
  <c r="A908" i="1"/>
  <c r="B908" i="1"/>
  <c r="C908" i="1"/>
  <c r="D908" i="1"/>
  <c r="E908" i="1"/>
  <c r="A909" i="1"/>
  <c r="B909" i="1"/>
  <c r="C909" i="1"/>
  <c r="D909" i="1"/>
  <c r="E909" i="1"/>
  <c r="A910" i="1"/>
  <c r="B910" i="1"/>
  <c r="C910" i="1"/>
  <c r="D910" i="1"/>
  <c r="E910" i="1"/>
  <c r="A911" i="1"/>
  <c r="B911" i="1"/>
  <c r="C911" i="1"/>
  <c r="D911" i="1"/>
  <c r="E911" i="1"/>
  <c r="A912" i="1"/>
  <c r="B912" i="1"/>
  <c r="C912" i="1"/>
  <c r="D912" i="1"/>
  <c r="E912" i="1"/>
  <c r="A913" i="1"/>
  <c r="B913" i="1"/>
  <c r="C913" i="1"/>
  <c r="D913" i="1"/>
  <c r="E913" i="1"/>
  <c r="A914" i="1"/>
  <c r="B914" i="1"/>
  <c r="C914" i="1"/>
  <c r="D914" i="1"/>
  <c r="E914" i="1"/>
  <c r="A915" i="1"/>
  <c r="B915" i="1"/>
  <c r="C915" i="1"/>
  <c r="D915" i="1"/>
  <c r="E915" i="1"/>
  <c r="A916" i="1"/>
  <c r="B916" i="1"/>
  <c r="C916" i="1"/>
  <c r="D916" i="1"/>
  <c r="E916" i="1"/>
  <c r="A917" i="1"/>
  <c r="B917" i="1"/>
  <c r="C917" i="1"/>
  <c r="D917" i="1"/>
  <c r="E917" i="1"/>
  <c r="A918" i="1"/>
  <c r="B918" i="1"/>
  <c r="C918" i="1"/>
  <c r="D918" i="1"/>
  <c r="E918" i="1"/>
  <c r="A919" i="1"/>
  <c r="B919" i="1"/>
  <c r="C919" i="1"/>
  <c r="D919" i="1"/>
  <c r="E919" i="1"/>
  <c r="A920" i="1"/>
  <c r="B920" i="1"/>
  <c r="C920" i="1"/>
  <c r="D920" i="1"/>
  <c r="E920" i="1"/>
  <c r="A921" i="1"/>
  <c r="B921" i="1"/>
  <c r="C921" i="1"/>
  <c r="D921" i="1"/>
  <c r="E921" i="1"/>
  <c r="A922" i="1"/>
  <c r="B922" i="1"/>
  <c r="C922" i="1"/>
  <c r="D922" i="1"/>
  <c r="E922" i="1"/>
  <c r="A923" i="1"/>
  <c r="B923" i="1"/>
  <c r="C923" i="1"/>
  <c r="D923" i="1"/>
  <c r="E923" i="1"/>
  <c r="A924" i="1"/>
  <c r="B924" i="1"/>
  <c r="C924" i="1"/>
  <c r="D924" i="1"/>
  <c r="E924" i="1"/>
  <c r="A925" i="1"/>
  <c r="B925" i="1"/>
  <c r="C925" i="1"/>
  <c r="D925" i="1"/>
  <c r="E925" i="1"/>
  <c r="A926" i="1"/>
  <c r="B926" i="1"/>
  <c r="C926" i="1"/>
  <c r="D926" i="1"/>
  <c r="E926" i="1"/>
  <c r="A927" i="1"/>
  <c r="B927" i="1"/>
  <c r="C927" i="1"/>
  <c r="D927" i="1"/>
  <c r="E927" i="1"/>
  <c r="A928" i="1"/>
  <c r="B928" i="1"/>
  <c r="C928" i="1"/>
  <c r="D928" i="1"/>
  <c r="E928" i="1"/>
  <c r="A929" i="1"/>
  <c r="B929" i="1"/>
  <c r="C929" i="1"/>
  <c r="D929" i="1"/>
  <c r="E929" i="1"/>
  <c r="A930" i="1"/>
  <c r="B930" i="1"/>
  <c r="C930" i="1"/>
  <c r="D930" i="1"/>
  <c r="E930" i="1"/>
  <c r="A931" i="1"/>
  <c r="B931" i="1"/>
  <c r="C931" i="1"/>
  <c r="D931" i="1"/>
  <c r="E931" i="1"/>
  <c r="A932" i="1"/>
  <c r="B932" i="1"/>
  <c r="C932" i="1"/>
  <c r="D932" i="1"/>
  <c r="E932" i="1"/>
  <c r="A933" i="1"/>
  <c r="B933" i="1"/>
  <c r="C933" i="1"/>
  <c r="D933" i="1"/>
  <c r="E933" i="1"/>
  <c r="A934" i="1"/>
  <c r="B934" i="1"/>
  <c r="C934" i="1"/>
  <c r="D934" i="1"/>
  <c r="E934" i="1"/>
  <c r="A935" i="1"/>
  <c r="B935" i="1"/>
  <c r="C935" i="1"/>
  <c r="D935" i="1"/>
  <c r="E935" i="1"/>
  <c r="A936" i="1"/>
  <c r="B936" i="1"/>
  <c r="C936" i="1"/>
  <c r="D936" i="1"/>
  <c r="E936" i="1"/>
  <c r="A937" i="1"/>
  <c r="B937" i="1"/>
  <c r="C937" i="1"/>
  <c r="D937" i="1"/>
  <c r="E937" i="1"/>
  <c r="A938" i="1"/>
  <c r="B938" i="1"/>
  <c r="C938" i="1"/>
  <c r="D938" i="1"/>
  <c r="E938" i="1"/>
  <c r="A939" i="1"/>
  <c r="B939" i="1"/>
  <c r="C939" i="1"/>
  <c r="D939" i="1"/>
  <c r="E939" i="1"/>
  <c r="A940" i="1"/>
  <c r="B940" i="1"/>
  <c r="C940" i="1"/>
  <c r="D940" i="1"/>
  <c r="E940" i="1"/>
  <c r="A941" i="1"/>
  <c r="B941" i="1"/>
  <c r="C941" i="1"/>
  <c r="D941" i="1"/>
  <c r="E941" i="1"/>
  <c r="A942" i="1"/>
  <c r="B942" i="1"/>
  <c r="C942" i="1"/>
  <c r="D942" i="1"/>
  <c r="E942" i="1"/>
  <c r="A943" i="1"/>
  <c r="B943" i="1"/>
  <c r="C943" i="1"/>
  <c r="D943" i="1"/>
  <c r="E943" i="1"/>
  <c r="A944" i="1"/>
  <c r="B944" i="1"/>
  <c r="C944" i="1"/>
  <c r="D944" i="1"/>
  <c r="E944" i="1"/>
  <c r="A945" i="1"/>
  <c r="B945" i="1"/>
  <c r="C945" i="1"/>
  <c r="D945" i="1"/>
  <c r="E945" i="1"/>
  <c r="A946" i="1"/>
  <c r="B946" i="1"/>
  <c r="C946" i="1"/>
  <c r="D946" i="1"/>
  <c r="E946" i="1"/>
  <c r="A947" i="1"/>
  <c r="B947" i="1"/>
  <c r="C947" i="1"/>
  <c r="D947" i="1"/>
  <c r="E947" i="1"/>
  <c r="A948" i="1"/>
  <c r="B948" i="1"/>
  <c r="C948" i="1"/>
  <c r="D948" i="1"/>
  <c r="E948" i="1"/>
  <c r="A949" i="1"/>
  <c r="B949" i="1"/>
  <c r="C949" i="1"/>
  <c r="D949" i="1"/>
  <c r="E949" i="1"/>
  <c r="A950" i="1"/>
  <c r="B950" i="1"/>
  <c r="C950" i="1"/>
  <c r="D950" i="1"/>
  <c r="E950" i="1"/>
  <c r="A951" i="1"/>
  <c r="B951" i="1"/>
  <c r="C951" i="1"/>
  <c r="D951" i="1"/>
  <c r="E951" i="1"/>
  <c r="A952" i="1"/>
  <c r="B952" i="1"/>
  <c r="C952" i="1"/>
  <c r="D952" i="1"/>
  <c r="E952" i="1"/>
  <c r="A953" i="1"/>
  <c r="B953" i="1"/>
  <c r="C953" i="1"/>
  <c r="D953" i="1"/>
  <c r="E953" i="1"/>
  <c r="A954" i="1"/>
  <c r="B954" i="1"/>
  <c r="C954" i="1"/>
  <c r="D954" i="1"/>
  <c r="E954" i="1"/>
  <c r="A955" i="1"/>
  <c r="B955" i="1"/>
  <c r="C955" i="1"/>
  <c r="D955" i="1"/>
  <c r="E955" i="1"/>
  <c r="A956" i="1"/>
  <c r="B956" i="1"/>
  <c r="C956" i="1"/>
  <c r="D956" i="1"/>
  <c r="E956" i="1"/>
  <c r="A957" i="1"/>
  <c r="B957" i="1"/>
  <c r="C957" i="1"/>
  <c r="D957" i="1"/>
  <c r="E957" i="1"/>
  <c r="A958" i="1"/>
  <c r="B958" i="1"/>
  <c r="C958" i="1"/>
  <c r="D958" i="1"/>
  <c r="E958" i="1"/>
  <c r="A959" i="1"/>
  <c r="B959" i="1"/>
  <c r="C959" i="1"/>
  <c r="D959" i="1"/>
  <c r="E959" i="1"/>
  <c r="A960" i="1"/>
  <c r="B960" i="1"/>
  <c r="C960" i="1"/>
  <c r="D960" i="1"/>
  <c r="E960" i="1"/>
  <c r="A961" i="1"/>
  <c r="B961" i="1"/>
  <c r="C961" i="1"/>
  <c r="D961" i="1"/>
  <c r="E961" i="1"/>
  <c r="A962" i="1"/>
  <c r="B962" i="1"/>
  <c r="C962" i="1"/>
  <c r="D962" i="1"/>
  <c r="E962" i="1"/>
  <c r="A963" i="1"/>
  <c r="B963" i="1"/>
  <c r="C963" i="1"/>
  <c r="D963" i="1"/>
  <c r="E963" i="1"/>
  <c r="A964" i="1"/>
  <c r="B964" i="1"/>
  <c r="C964" i="1"/>
  <c r="D964" i="1"/>
  <c r="E964" i="1"/>
  <c r="A965" i="1"/>
  <c r="B965" i="1"/>
  <c r="C965" i="1"/>
  <c r="D965" i="1"/>
  <c r="E965" i="1"/>
  <c r="A966" i="1"/>
  <c r="B966" i="1"/>
  <c r="C966" i="1"/>
  <c r="D966" i="1"/>
  <c r="E966" i="1"/>
  <c r="A967" i="1"/>
  <c r="B967" i="1"/>
  <c r="C967" i="1"/>
  <c r="D967" i="1"/>
  <c r="E967" i="1"/>
  <c r="A968" i="1"/>
  <c r="B968" i="1"/>
  <c r="C968" i="1"/>
  <c r="D968" i="1"/>
  <c r="E968" i="1"/>
  <c r="A969" i="1"/>
  <c r="B969" i="1"/>
  <c r="C969" i="1"/>
  <c r="D969" i="1"/>
  <c r="E969" i="1"/>
  <c r="A970" i="1"/>
  <c r="B970" i="1"/>
  <c r="C970" i="1"/>
  <c r="D970" i="1"/>
  <c r="E970" i="1"/>
  <c r="A971" i="1"/>
  <c r="B971" i="1"/>
  <c r="C971" i="1"/>
  <c r="D971" i="1"/>
  <c r="E971" i="1"/>
  <c r="A972" i="1"/>
  <c r="B972" i="1"/>
  <c r="C972" i="1"/>
  <c r="D972" i="1"/>
  <c r="E972" i="1"/>
  <c r="A973" i="1"/>
  <c r="B973" i="1"/>
  <c r="C973" i="1"/>
  <c r="D973" i="1"/>
  <c r="E973" i="1"/>
  <c r="A974" i="1"/>
  <c r="B974" i="1"/>
  <c r="C974" i="1"/>
  <c r="D974" i="1"/>
  <c r="E974" i="1"/>
  <c r="A975" i="1"/>
  <c r="B975" i="1"/>
  <c r="C975" i="1"/>
  <c r="D975" i="1"/>
  <c r="E975" i="1"/>
  <c r="A976" i="1"/>
  <c r="B976" i="1"/>
  <c r="C976" i="1"/>
  <c r="D976" i="1"/>
  <c r="E976" i="1"/>
  <c r="A977" i="1"/>
  <c r="B977" i="1"/>
  <c r="C977" i="1"/>
  <c r="D977" i="1"/>
  <c r="E977" i="1"/>
  <c r="A978" i="1"/>
  <c r="B978" i="1"/>
  <c r="C978" i="1"/>
  <c r="D978" i="1"/>
  <c r="E978" i="1"/>
  <c r="A979" i="1"/>
  <c r="B979" i="1"/>
  <c r="C979" i="1"/>
  <c r="D979" i="1"/>
  <c r="E979" i="1"/>
  <c r="A980" i="1"/>
  <c r="B980" i="1"/>
  <c r="C980" i="1"/>
  <c r="D980" i="1"/>
  <c r="E980" i="1"/>
  <c r="A981" i="1"/>
  <c r="B981" i="1"/>
  <c r="C981" i="1"/>
  <c r="D981" i="1"/>
  <c r="E981" i="1"/>
  <c r="A982" i="1"/>
  <c r="B982" i="1"/>
  <c r="C982" i="1"/>
  <c r="D982" i="1"/>
  <c r="E982" i="1"/>
  <c r="A983" i="1"/>
  <c r="B983" i="1"/>
  <c r="C983" i="1"/>
  <c r="D983" i="1"/>
  <c r="E983" i="1"/>
  <c r="A984" i="1"/>
  <c r="B984" i="1"/>
  <c r="C984" i="1"/>
  <c r="D984" i="1"/>
  <c r="E984" i="1"/>
  <c r="A985" i="1"/>
  <c r="B985" i="1"/>
  <c r="C985" i="1"/>
  <c r="D985" i="1"/>
  <c r="E985" i="1"/>
  <c r="A986" i="1"/>
  <c r="B986" i="1"/>
  <c r="C986" i="1"/>
  <c r="D986" i="1"/>
  <c r="E986" i="1"/>
  <c r="A987" i="1"/>
  <c r="B987" i="1"/>
  <c r="C987" i="1"/>
  <c r="D987" i="1"/>
  <c r="E987" i="1"/>
  <c r="A988" i="1"/>
  <c r="B988" i="1"/>
  <c r="C988" i="1"/>
  <c r="D988" i="1"/>
  <c r="E988" i="1"/>
  <c r="A989" i="1"/>
  <c r="B989" i="1"/>
  <c r="C989" i="1"/>
  <c r="D989" i="1"/>
  <c r="E989" i="1"/>
  <c r="A990" i="1"/>
  <c r="B990" i="1"/>
  <c r="C990" i="1"/>
  <c r="D990" i="1"/>
  <c r="E990" i="1"/>
  <c r="A991" i="1"/>
  <c r="B991" i="1"/>
  <c r="C991" i="1"/>
  <c r="D991" i="1"/>
  <c r="E991" i="1"/>
  <c r="A992" i="1"/>
  <c r="B992" i="1"/>
  <c r="C992" i="1"/>
  <c r="D992" i="1"/>
  <c r="E992" i="1"/>
  <c r="A993" i="1"/>
  <c r="B993" i="1"/>
  <c r="C993" i="1"/>
  <c r="D993" i="1"/>
  <c r="E993" i="1"/>
  <c r="A994" i="1"/>
  <c r="B994" i="1"/>
  <c r="C994" i="1"/>
  <c r="D994" i="1"/>
  <c r="E994" i="1"/>
  <c r="A995" i="1"/>
  <c r="B995" i="1"/>
  <c r="C995" i="1"/>
  <c r="D995" i="1"/>
  <c r="E995" i="1"/>
  <c r="A996" i="1"/>
  <c r="B996" i="1"/>
  <c r="C996" i="1"/>
  <c r="D996" i="1"/>
  <c r="E996" i="1"/>
  <c r="A997" i="1"/>
  <c r="B997" i="1"/>
  <c r="C997" i="1"/>
  <c r="D997" i="1"/>
  <c r="E997" i="1"/>
  <c r="A998" i="1"/>
  <c r="B998" i="1"/>
  <c r="C998" i="1"/>
  <c r="D998" i="1"/>
  <c r="E998" i="1"/>
  <c r="A999" i="1"/>
  <c r="B999" i="1"/>
  <c r="C999" i="1"/>
  <c r="D999" i="1"/>
  <c r="E999" i="1"/>
  <c r="A1000" i="1"/>
  <c r="B1000" i="1"/>
  <c r="C1000" i="1"/>
  <c r="D1000" i="1"/>
  <c r="E1000" i="1"/>
  <c r="A1001" i="1"/>
  <c r="B1001" i="1"/>
  <c r="C1001" i="1"/>
  <c r="D1001" i="1"/>
  <c r="E1001" i="1"/>
  <c r="A1002" i="1"/>
  <c r="B1002" i="1"/>
  <c r="C1002" i="1"/>
  <c r="D1002" i="1"/>
  <c r="E1002" i="1"/>
  <c r="A1003" i="1"/>
  <c r="B1003" i="1"/>
  <c r="C1003" i="1"/>
  <c r="D1003" i="1"/>
  <c r="E1003" i="1"/>
  <c r="A1004" i="1"/>
  <c r="B1004" i="1"/>
  <c r="C1004" i="1"/>
  <c r="D1004" i="1"/>
  <c r="E1004" i="1"/>
  <c r="A1005" i="1"/>
  <c r="B1005" i="1"/>
  <c r="C1005" i="1"/>
  <c r="D1005" i="1"/>
  <c r="E1005" i="1"/>
  <c r="A1006" i="1"/>
  <c r="B1006" i="1"/>
  <c r="C1006" i="1"/>
  <c r="D1006" i="1"/>
  <c r="E1006" i="1"/>
  <c r="A1007" i="1"/>
  <c r="B1007" i="1"/>
  <c r="C1007" i="1"/>
  <c r="D1007" i="1"/>
  <c r="E1007" i="1"/>
  <c r="A1008" i="1"/>
  <c r="B1008" i="1"/>
  <c r="C1008" i="1"/>
  <c r="D1008" i="1"/>
  <c r="E1008" i="1"/>
  <c r="A1009" i="1"/>
  <c r="B1009" i="1"/>
  <c r="C1009" i="1"/>
  <c r="D1009" i="1"/>
  <c r="E1009" i="1"/>
  <c r="A1010" i="1"/>
  <c r="B1010" i="1"/>
  <c r="C1010" i="1"/>
  <c r="D1010" i="1"/>
  <c r="E1010" i="1"/>
  <c r="A1011" i="1"/>
  <c r="B1011" i="1"/>
  <c r="C1011" i="1"/>
  <c r="D1011" i="1"/>
  <c r="E1011" i="1"/>
  <c r="A1012" i="1"/>
  <c r="B1012" i="1"/>
  <c r="C1012" i="1"/>
  <c r="D1012" i="1"/>
  <c r="E1012" i="1"/>
  <c r="A1013" i="1"/>
  <c r="B1013" i="1"/>
  <c r="C1013" i="1"/>
  <c r="D1013" i="1"/>
  <c r="E1013" i="1"/>
  <c r="A1014" i="1"/>
  <c r="B1014" i="1"/>
  <c r="C1014" i="1"/>
  <c r="D1014" i="1"/>
  <c r="E1014" i="1"/>
  <c r="A1015" i="1"/>
  <c r="B1015" i="1"/>
  <c r="C1015" i="1"/>
  <c r="D1015" i="1"/>
  <c r="E1015" i="1"/>
  <c r="A1016" i="1"/>
  <c r="B1016" i="1"/>
  <c r="C1016" i="1"/>
  <c r="D1016" i="1"/>
  <c r="E1016" i="1"/>
  <c r="A1017" i="1"/>
  <c r="B1017" i="1"/>
  <c r="C1017" i="1"/>
  <c r="D1017" i="1"/>
  <c r="E1017" i="1"/>
  <c r="A1018" i="1"/>
  <c r="B1018" i="1"/>
  <c r="C1018" i="1"/>
  <c r="D1018" i="1"/>
  <c r="E1018" i="1"/>
  <c r="A1019" i="1"/>
  <c r="B1019" i="1"/>
  <c r="C1019" i="1"/>
  <c r="D1019" i="1"/>
  <c r="E1019" i="1"/>
  <c r="A1020" i="1"/>
  <c r="B1020" i="1"/>
  <c r="C1020" i="1"/>
  <c r="D1020" i="1"/>
  <c r="E1020" i="1"/>
  <c r="A1021" i="1"/>
  <c r="B1021" i="1"/>
  <c r="C1021" i="1"/>
  <c r="D1021" i="1"/>
  <c r="E1021" i="1"/>
  <c r="A1022" i="1"/>
  <c r="B1022" i="1"/>
  <c r="C1022" i="1"/>
  <c r="D1022" i="1"/>
  <c r="E1022" i="1"/>
  <c r="A1023" i="1"/>
  <c r="B1023" i="1"/>
  <c r="C1023" i="1"/>
  <c r="D1023" i="1"/>
  <c r="E1023" i="1"/>
  <c r="A1024" i="1"/>
  <c r="B1024" i="1"/>
  <c r="C1024" i="1"/>
  <c r="D1024" i="1"/>
  <c r="E1024" i="1"/>
  <c r="A1025" i="1"/>
  <c r="B1025" i="1"/>
  <c r="C1025" i="1"/>
  <c r="D1025" i="1"/>
  <c r="E1025" i="1"/>
  <c r="A1026" i="1"/>
  <c r="B1026" i="1"/>
  <c r="C1026" i="1"/>
  <c r="D1026" i="1"/>
  <c r="E1026" i="1"/>
  <c r="A1027" i="1"/>
  <c r="B1027" i="1"/>
  <c r="C1027" i="1"/>
  <c r="D1027" i="1"/>
  <c r="E1027" i="1"/>
  <c r="A1028" i="1"/>
  <c r="B1028" i="1"/>
  <c r="C1028" i="1"/>
  <c r="D1028" i="1"/>
  <c r="E1028" i="1"/>
  <c r="A1029" i="1"/>
  <c r="B1029" i="1"/>
  <c r="C1029" i="1"/>
  <c r="D1029" i="1"/>
  <c r="E1029" i="1"/>
  <c r="A1030" i="1"/>
  <c r="B1030" i="1"/>
  <c r="C1030" i="1"/>
  <c r="D1030" i="1"/>
  <c r="E1030" i="1"/>
  <c r="A1031" i="1"/>
  <c r="B1031" i="1"/>
  <c r="C1031" i="1"/>
  <c r="D1031" i="1"/>
  <c r="E1031" i="1"/>
  <c r="A1032" i="1"/>
  <c r="B1032" i="1"/>
  <c r="C1032" i="1"/>
  <c r="D1032" i="1"/>
  <c r="E1032" i="1"/>
  <c r="A1033" i="1"/>
  <c r="B1033" i="1"/>
  <c r="C1033" i="1"/>
  <c r="D1033" i="1"/>
  <c r="E1033" i="1"/>
  <c r="A1034" i="1"/>
  <c r="B1034" i="1"/>
  <c r="C1034" i="1"/>
  <c r="D1034" i="1"/>
  <c r="E1034" i="1"/>
  <c r="A1035" i="1"/>
  <c r="B1035" i="1"/>
  <c r="C1035" i="1"/>
  <c r="D1035" i="1"/>
  <c r="E1035" i="1"/>
  <c r="A1036" i="1"/>
  <c r="B1036" i="1"/>
  <c r="C1036" i="1"/>
  <c r="D1036" i="1"/>
  <c r="E1036" i="1"/>
  <c r="A1037" i="1"/>
  <c r="B1037" i="1"/>
  <c r="C1037" i="1"/>
  <c r="D1037" i="1"/>
  <c r="E1037" i="1"/>
  <c r="A1038" i="1"/>
  <c r="B1038" i="1"/>
  <c r="C1038" i="1"/>
  <c r="D1038" i="1"/>
  <c r="E1038" i="1"/>
  <c r="A1039" i="1"/>
  <c r="B1039" i="1"/>
  <c r="C1039" i="1"/>
  <c r="D1039" i="1"/>
  <c r="E1039" i="1"/>
  <c r="A1040" i="1"/>
  <c r="B1040" i="1"/>
  <c r="C1040" i="1"/>
  <c r="D1040" i="1"/>
  <c r="E1040" i="1"/>
  <c r="A1041" i="1"/>
  <c r="B1041" i="1"/>
  <c r="C1041" i="1"/>
  <c r="D1041" i="1"/>
  <c r="E1041" i="1"/>
  <c r="A1042" i="1"/>
  <c r="B1042" i="1"/>
  <c r="C1042" i="1"/>
  <c r="D1042" i="1"/>
  <c r="E1042" i="1"/>
  <c r="A1043" i="1"/>
  <c r="B1043" i="1"/>
  <c r="C1043" i="1"/>
  <c r="D1043" i="1"/>
  <c r="E1043" i="1"/>
  <c r="A1044" i="1"/>
  <c r="B1044" i="1"/>
  <c r="C1044" i="1"/>
  <c r="D1044" i="1"/>
  <c r="E1044" i="1"/>
  <c r="A1045" i="1"/>
  <c r="B1045" i="1"/>
  <c r="C1045" i="1"/>
  <c r="D1045" i="1"/>
  <c r="E1045" i="1"/>
  <c r="A1046" i="1"/>
  <c r="B1046" i="1"/>
  <c r="C1046" i="1"/>
  <c r="D1046" i="1"/>
  <c r="E1046" i="1"/>
  <c r="A1047" i="1"/>
  <c r="B1047" i="1"/>
  <c r="C1047" i="1"/>
  <c r="D1047" i="1"/>
  <c r="E1047" i="1"/>
  <c r="A1048" i="1"/>
  <c r="B1048" i="1"/>
  <c r="C1048" i="1"/>
  <c r="D1048" i="1"/>
  <c r="E1048" i="1"/>
  <c r="A1049" i="1"/>
  <c r="B1049" i="1"/>
  <c r="C1049" i="1"/>
  <c r="D1049" i="1"/>
  <c r="E1049" i="1"/>
  <c r="A1050" i="1"/>
  <c r="B1050" i="1"/>
  <c r="C1050" i="1"/>
  <c r="D1050" i="1"/>
  <c r="E1050" i="1"/>
  <c r="A1051" i="1"/>
  <c r="B1051" i="1"/>
  <c r="C1051" i="1"/>
  <c r="D1051" i="1"/>
  <c r="E1051" i="1"/>
  <c r="A1052" i="1"/>
  <c r="B1052" i="1"/>
  <c r="C1052" i="1"/>
  <c r="D1052" i="1"/>
  <c r="E1052" i="1"/>
  <c r="A1053" i="1"/>
  <c r="B1053" i="1"/>
  <c r="C1053" i="1"/>
  <c r="D1053" i="1"/>
  <c r="E1053" i="1"/>
  <c r="A1054" i="1"/>
  <c r="B1054" i="1"/>
  <c r="C1054" i="1"/>
  <c r="D1054" i="1"/>
  <c r="E1054" i="1"/>
  <c r="A1055" i="1"/>
  <c r="B1055" i="1"/>
  <c r="C1055" i="1"/>
  <c r="D1055" i="1"/>
  <c r="E1055" i="1"/>
  <c r="A1056" i="1"/>
  <c r="B1056" i="1"/>
  <c r="C1056" i="1"/>
  <c r="D1056" i="1"/>
  <c r="E1056" i="1"/>
  <c r="A1057" i="1"/>
  <c r="B1057" i="1"/>
  <c r="C1057" i="1"/>
  <c r="D1057" i="1"/>
  <c r="E1057" i="1"/>
  <c r="A1058" i="1"/>
  <c r="B1058" i="1"/>
  <c r="C1058" i="1"/>
  <c r="D1058" i="1"/>
  <c r="E1058" i="1"/>
  <c r="A1059" i="1"/>
  <c r="B1059" i="1"/>
  <c r="C1059" i="1"/>
  <c r="D1059" i="1"/>
  <c r="E1059" i="1"/>
  <c r="A1060" i="1"/>
  <c r="B1060" i="1"/>
  <c r="C1060" i="1"/>
  <c r="D1060" i="1"/>
  <c r="E1060" i="1"/>
  <c r="A1061" i="1"/>
  <c r="B1061" i="1"/>
  <c r="C1061" i="1"/>
  <c r="D1061" i="1"/>
  <c r="E1061" i="1"/>
  <c r="A1062" i="1"/>
  <c r="B1062" i="1"/>
  <c r="C1062" i="1"/>
  <c r="D1062" i="1"/>
  <c r="E1062" i="1"/>
  <c r="A1063" i="1"/>
  <c r="B1063" i="1"/>
  <c r="C1063" i="1"/>
  <c r="D1063" i="1"/>
  <c r="E1063" i="1"/>
  <c r="A1064" i="1"/>
  <c r="B1064" i="1"/>
  <c r="C1064" i="1"/>
  <c r="D1064" i="1"/>
  <c r="E1064" i="1"/>
  <c r="A1065" i="1"/>
  <c r="B1065" i="1"/>
  <c r="C1065" i="1"/>
  <c r="D1065" i="1"/>
  <c r="E1065" i="1"/>
  <c r="A1066" i="1"/>
  <c r="B1066" i="1"/>
  <c r="C1066" i="1"/>
  <c r="D1066" i="1"/>
  <c r="E1066" i="1"/>
  <c r="A1067" i="1"/>
  <c r="B1067" i="1"/>
  <c r="C1067" i="1"/>
  <c r="D1067" i="1"/>
  <c r="E1067" i="1"/>
  <c r="A1068" i="1"/>
  <c r="B1068" i="1"/>
  <c r="C1068" i="1"/>
  <c r="D1068" i="1"/>
  <c r="E1068" i="1"/>
  <c r="A1069" i="1"/>
  <c r="B1069" i="1"/>
  <c r="C1069" i="1"/>
  <c r="D1069" i="1"/>
  <c r="E1069" i="1"/>
  <c r="A1070" i="1"/>
  <c r="B1070" i="1"/>
  <c r="C1070" i="1"/>
  <c r="D1070" i="1"/>
  <c r="E1070" i="1"/>
  <c r="A1071" i="1"/>
  <c r="B1071" i="1"/>
  <c r="C1071" i="1"/>
  <c r="D1071" i="1"/>
  <c r="E1071" i="1"/>
  <c r="A1072" i="1"/>
  <c r="B1072" i="1"/>
  <c r="C1072" i="1"/>
  <c r="D1072" i="1"/>
  <c r="E1072" i="1"/>
  <c r="A1073" i="1"/>
  <c r="B1073" i="1"/>
  <c r="C1073" i="1"/>
  <c r="D1073" i="1"/>
  <c r="E1073" i="1"/>
  <c r="A1074" i="1"/>
  <c r="B1074" i="1"/>
  <c r="C1074" i="1"/>
  <c r="D1074" i="1"/>
  <c r="E1074" i="1"/>
  <c r="A1075" i="1"/>
  <c r="B1075" i="1"/>
  <c r="C1075" i="1"/>
  <c r="D1075" i="1"/>
  <c r="E1075" i="1"/>
  <c r="A1076" i="1"/>
  <c r="B1076" i="1"/>
  <c r="C1076" i="1"/>
  <c r="D1076" i="1"/>
  <c r="E1076" i="1"/>
  <c r="A1077" i="1"/>
  <c r="B1077" i="1"/>
  <c r="C1077" i="1"/>
  <c r="D1077" i="1"/>
  <c r="E1077" i="1"/>
  <c r="A1078" i="1"/>
  <c r="B1078" i="1"/>
  <c r="C1078" i="1"/>
  <c r="D1078" i="1"/>
  <c r="E1078" i="1"/>
  <c r="A1079" i="1"/>
  <c r="B1079" i="1"/>
  <c r="C1079" i="1"/>
  <c r="D1079" i="1"/>
  <c r="E1079" i="1"/>
  <c r="A1080" i="1"/>
  <c r="B1080" i="1"/>
  <c r="C1080" i="1"/>
  <c r="D1080" i="1"/>
  <c r="E1080" i="1"/>
  <c r="A1081" i="1"/>
  <c r="B1081" i="1"/>
  <c r="C1081" i="1"/>
  <c r="D1081" i="1"/>
  <c r="E1081" i="1"/>
  <c r="A1082" i="1"/>
  <c r="B1082" i="1"/>
  <c r="C1082" i="1"/>
  <c r="D1082" i="1"/>
  <c r="E1082" i="1"/>
  <c r="A1083" i="1"/>
  <c r="B1083" i="1"/>
  <c r="C1083" i="1"/>
  <c r="D1083" i="1"/>
  <c r="E1083" i="1"/>
  <c r="A1084" i="1"/>
  <c r="B1084" i="1"/>
  <c r="C1084" i="1"/>
  <c r="D1084" i="1"/>
  <c r="E1084" i="1"/>
  <c r="A1085" i="1"/>
  <c r="B1085" i="1"/>
  <c r="C1085" i="1"/>
  <c r="D1085" i="1"/>
  <c r="E1085" i="1"/>
  <c r="A1086" i="1"/>
  <c r="B1086" i="1"/>
  <c r="C1086" i="1"/>
  <c r="D1086" i="1"/>
  <c r="E1086" i="1"/>
  <c r="A1087" i="1"/>
  <c r="B1087" i="1"/>
  <c r="C1087" i="1"/>
  <c r="D1087" i="1"/>
  <c r="E1087" i="1"/>
  <c r="A1088" i="1"/>
  <c r="B1088" i="1"/>
  <c r="C1088" i="1"/>
  <c r="D1088" i="1"/>
  <c r="E1088" i="1"/>
  <c r="A1089" i="1"/>
  <c r="B1089" i="1"/>
  <c r="C1089" i="1"/>
  <c r="D1089" i="1"/>
  <c r="E1089" i="1"/>
  <c r="A1090" i="1"/>
  <c r="B1090" i="1"/>
  <c r="C1090" i="1"/>
  <c r="D1090" i="1"/>
  <c r="E1090" i="1"/>
  <c r="A1091" i="1"/>
  <c r="B1091" i="1"/>
  <c r="C1091" i="1"/>
  <c r="D1091" i="1"/>
  <c r="E1091" i="1"/>
  <c r="A1092" i="1"/>
  <c r="B1092" i="1"/>
  <c r="C1092" i="1"/>
  <c r="D1092" i="1"/>
  <c r="E1092" i="1"/>
  <c r="A1093" i="1"/>
  <c r="B1093" i="1"/>
  <c r="C1093" i="1"/>
  <c r="D1093" i="1"/>
  <c r="E1093" i="1"/>
  <c r="A1094" i="1"/>
  <c r="B1094" i="1"/>
  <c r="C1094" i="1"/>
  <c r="D1094" i="1"/>
  <c r="E1094" i="1"/>
  <c r="A1095" i="1"/>
  <c r="B1095" i="1"/>
  <c r="C1095" i="1"/>
  <c r="D1095" i="1"/>
  <c r="E1095" i="1"/>
  <c r="A1096" i="1"/>
  <c r="B1096" i="1"/>
  <c r="C1096" i="1"/>
  <c r="D1096" i="1"/>
  <c r="E1096" i="1"/>
  <c r="A1097" i="1"/>
  <c r="B1097" i="1"/>
  <c r="C1097" i="1"/>
  <c r="D1097" i="1"/>
  <c r="E1097" i="1"/>
  <c r="A1098" i="1"/>
  <c r="B1098" i="1"/>
  <c r="C1098" i="1"/>
  <c r="D1098" i="1"/>
  <c r="E1098" i="1"/>
  <c r="A1099" i="1"/>
  <c r="B1099" i="1"/>
  <c r="C1099" i="1"/>
  <c r="D1099" i="1"/>
  <c r="E1099" i="1"/>
  <c r="A1100" i="1"/>
  <c r="B1100" i="1"/>
  <c r="C1100" i="1"/>
  <c r="D1100" i="1"/>
  <c r="E1100" i="1"/>
  <c r="A1101" i="1"/>
  <c r="B1101" i="1"/>
  <c r="C1101" i="1"/>
  <c r="D1101" i="1"/>
  <c r="E1101" i="1"/>
  <c r="A1102" i="1"/>
  <c r="B1102" i="1"/>
  <c r="C1102" i="1"/>
  <c r="D1102" i="1"/>
  <c r="E1102" i="1"/>
  <c r="A1103" i="1"/>
  <c r="B1103" i="1"/>
  <c r="C1103" i="1"/>
  <c r="D1103" i="1"/>
  <c r="E1103" i="1"/>
  <c r="A1104" i="1"/>
  <c r="B1104" i="1"/>
  <c r="C1104" i="1"/>
  <c r="D1104" i="1"/>
  <c r="E1104" i="1"/>
  <c r="A1105" i="1"/>
  <c r="B1105" i="1"/>
  <c r="C1105" i="1"/>
  <c r="D1105" i="1"/>
  <c r="E1105" i="1"/>
  <c r="A1106" i="1"/>
  <c r="B1106" i="1"/>
  <c r="C1106" i="1"/>
  <c r="D1106" i="1"/>
  <c r="E1106" i="1"/>
  <c r="A1107" i="1"/>
  <c r="B1107" i="1"/>
  <c r="C1107" i="1"/>
  <c r="D1107" i="1"/>
  <c r="E1107" i="1"/>
  <c r="A1108" i="1"/>
  <c r="B1108" i="1"/>
  <c r="C1108" i="1"/>
  <c r="D1108" i="1"/>
  <c r="E1108" i="1"/>
  <c r="A1109" i="1"/>
  <c r="B1109" i="1"/>
  <c r="C1109" i="1"/>
  <c r="D1109" i="1"/>
  <c r="E1109" i="1"/>
  <c r="A1110" i="1"/>
  <c r="B1110" i="1"/>
  <c r="C1110" i="1"/>
  <c r="D1110" i="1"/>
  <c r="E1110" i="1"/>
  <c r="A1111" i="1"/>
  <c r="B1111" i="1"/>
  <c r="C1111" i="1"/>
  <c r="D1111" i="1"/>
  <c r="E1111" i="1"/>
  <c r="A1112" i="1"/>
  <c r="B1112" i="1"/>
  <c r="C1112" i="1"/>
  <c r="D1112" i="1"/>
  <c r="E1112" i="1"/>
  <c r="A1113" i="1"/>
  <c r="B1113" i="1"/>
  <c r="C1113" i="1"/>
  <c r="D1113" i="1"/>
  <c r="E1113" i="1"/>
  <c r="A1114" i="1"/>
  <c r="B1114" i="1"/>
  <c r="C1114" i="1"/>
  <c r="D1114" i="1"/>
  <c r="E1114" i="1"/>
  <c r="A1115" i="1"/>
  <c r="B1115" i="1"/>
  <c r="C1115" i="1"/>
  <c r="D1115" i="1"/>
  <c r="E1115" i="1"/>
  <c r="A1116" i="1"/>
  <c r="B1116" i="1"/>
  <c r="C1116" i="1"/>
  <c r="D1116" i="1"/>
  <c r="E1116" i="1"/>
  <c r="A1117" i="1"/>
  <c r="B1117" i="1"/>
  <c r="C1117" i="1"/>
  <c r="D1117" i="1"/>
  <c r="E1117" i="1"/>
  <c r="A1118" i="1"/>
  <c r="B1118" i="1"/>
  <c r="C1118" i="1"/>
  <c r="D1118" i="1"/>
  <c r="E1118" i="1"/>
  <c r="A1119" i="1"/>
  <c r="B1119" i="1"/>
  <c r="C1119" i="1"/>
  <c r="D1119" i="1"/>
  <c r="E1119" i="1"/>
  <c r="A1120" i="1"/>
  <c r="B1120" i="1"/>
  <c r="C1120" i="1"/>
  <c r="D1120" i="1"/>
  <c r="E1120" i="1"/>
  <c r="A1121" i="1"/>
  <c r="B1121" i="1"/>
  <c r="C1121" i="1"/>
  <c r="D1121" i="1"/>
  <c r="E1121" i="1"/>
  <c r="A1122" i="1"/>
  <c r="B1122" i="1"/>
  <c r="C1122" i="1"/>
  <c r="D1122" i="1"/>
  <c r="E1122" i="1"/>
  <c r="A1123" i="1"/>
  <c r="B1123" i="1"/>
  <c r="C1123" i="1"/>
  <c r="D1123" i="1"/>
  <c r="E1123" i="1"/>
  <c r="A1124" i="1"/>
  <c r="B1124" i="1"/>
  <c r="C1124" i="1"/>
  <c r="D1124" i="1"/>
  <c r="E1124" i="1"/>
  <c r="A1125" i="1"/>
  <c r="B1125" i="1"/>
  <c r="C1125" i="1"/>
  <c r="D1125" i="1"/>
  <c r="E1125" i="1"/>
  <c r="A1126" i="1"/>
  <c r="B1126" i="1"/>
  <c r="C1126" i="1"/>
  <c r="D1126" i="1"/>
  <c r="E1126" i="1"/>
  <c r="A1127" i="1"/>
  <c r="B1127" i="1"/>
  <c r="C1127" i="1"/>
  <c r="D1127" i="1"/>
  <c r="E1127" i="1"/>
  <c r="A1128" i="1"/>
  <c r="B1128" i="1"/>
  <c r="C1128" i="1"/>
  <c r="D1128" i="1"/>
  <c r="E1128" i="1"/>
  <c r="A1129" i="1"/>
  <c r="B1129" i="1"/>
  <c r="C1129" i="1"/>
  <c r="D1129" i="1"/>
  <c r="E1129" i="1"/>
  <c r="A1130" i="1"/>
  <c r="B1130" i="1"/>
  <c r="C1130" i="1"/>
  <c r="D1130" i="1"/>
  <c r="E1130" i="1"/>
  <c r="A1131" i="1"/>
  <c r="B1131" i="1"/>
  <c r="C1131" i="1"/>
  <c r="D1131" i="1"/>
  <c r="E1131" i="1"/>
  <c r="A1132" i="1"/>
  <c r="B1132" i="1"/>
  <c r="C1132" i="1"/>
  <c r="D1132" i="1"/>
  <c r="E1132" i="1"/>
  <c r="A1133" i="1"/>
  <c r="B1133" i="1"/>
  <c r="C1133" i="1"/>
  <c r="D1133" i="1"/>
  <c r="E1133" i="1"/>
  <c r="A1134" i="1"/>
  <c r="B1134" i="1"/>
  <c r="C1134" i="1"/>
  <c r="D1134" i="1"/>
  <c r="E1134" i="1"/>
  <c r="A1135" i="1"/>
  <c r="B1135" i="1"/>
  <c r="C1135" i="1"/>
  <c r="D1135" i="1"/>
  <c r="E1135" i="1"/>
  <c r="A1136" i="1"/>
  <c r="B1136" i="1"/>
  <c r="C1136" i="1"/>
  <c r="D1136" i="1"/>
  <c r="E1136" i="1"/>
  <c r="A1137" i="1"/>
  <c r="B1137" i="1"/>
  <c r="C1137" i="1"/>
  <c r="D1137" i="1"/>
  <c r="E1137" i="1"/>
  <c r="A1138" i="1"/>
  <c r="B1138" i="1"/>
  <c r="C1138" i="1"/>
  <c r="D1138" i="1"/>
  <c r="E1138" i="1"/>
  <c r="A1139" i="1"/>
  <c r="B1139" i="1"/>
  <c r="C1139" i="1"/>
  <c r="D1139" i="1"/>
  <c r="E1139" i="1"/>
  <c r="A1140" i="1"/>
  <c r="B1140" i="1"/>
  <c r="C1140" i="1"/>
  <c r="D1140" i="1"/>
  <c r="E1140" i="1"/>
  <c r="A1141" i="1"/>
  <c r="B1141" i="1"/>
  <c r="C1141" i="1"/>
  <c r="D1141" i="1"/>
  <c r="E1141" i="1"/>
  <c r="A1142" i="1"/>
  <c r="B1142" i="1"/>
  <c r="C1142" i="1"/>
  <c r="D1142" i="1"/>
  <c r="E1142" i="1"/>
  <c r="A1143" i="1"/>
  <c r="B1143" i="1"/>
  <c r="C1143" i="1"/>
  <c r="D1143" i="1"/>
  <c r="E1143" i="1"/>
  <c r="A1144" i="1"/>
  <c r="B1144" i="1"/>
  <c r="C1144" i="1"/>
  <c r="D1144" i="1"/>
  <c r="E1144" i="1"/>
  <c r="A1145" i="1"/>
  <c r="B1145" i="1"/>
  <c r="C1145" i="1"/>
  <c r="D1145" i="1"/>
  <c r="E1145" i="1"/>
  <c r="A1146" i="1"/>
  <c r="B1146" i="1"/>
  <c r="C1146" i="1"/>
  <c r="D1146" i="1"/>
  <c r="E1146" i="1"/>
  <c r="A1147" i="1"/>
  <c r="B1147" i="1"/>
  <c r="C1147" i="1"/>
  <c r="D1147" i="1"/>
  <c r="E1147" i="1"/>
  <c r="A1148" i="1"/>
  <c r="B1148" i="1"/>
  <c r="C1148" i="1"/>
  <c r="D1148" i="1"/>
  <c r="E1148" i="1"/>
  <c r="A1149" i="1"/>
  <c r="B1149" i="1"/>
  <c r="C1149" i="1"/>
  <c r="D1149" i="1"/>
  <c r="E1149" i="1"/>
  <c r="A1150" i="1"/>
  <c r="B1150" i="1"/>
  <c r="C1150" i="1"/>
  <c r="D1150" i="1"/>
  <c r="E1150" i="1"/>
  <c r="A1151" i="1"/>
  <c r="B1151" i="1"/>
  <c r="C1151" i="1"/>
  <c r="D1151" i="1"/>
  <c r="E1151" i="1"/>
  <c r="A1152" i="1"/>
  <c r="B1152" i="1"/>
  <c r="C1152" i="1"/>
  <c r="D1152" i="1"/>
  <c r="E1152" i="1"/>
  <c r="A1153" i="1"/>
  <c r="B1153" i="1"/>
  <c r="C1153" i="1"/>
  <c r="D1153" i="1"/>
  <c r="E1153" i="1"/>
  <c r="A1154" i="1"/>
  <c r="B1154" i="1"/>
  <c r="C1154" i="1"/>
  <c r="D1154" i="1"/>
  <c r="E1154" i="1"/>
  <c r="A1155" i="1"/>
  <c r="B1155" i="1"/>
  <c r="C1155" i="1"/>
  <c r="D1155" i="1"/>
  <c r="E1155" i="1"/>
  <c r="A1156" i="1"/>
  <c r="B1156" i="1"/>
  <c r="C1156" i="1"/>
  <c r="D1156" i="1"/>
  <c r="E1156" i="1"/>
  <c r="A1157" i="1"/>
  <c r="B1157" i="1"/>
  <c r="C1157" i="1"/>
  <c r="D1157" i="1"/>
  <c r="E1157" i="1"/>
  <c r="A1158" i="1"/>
  <c r="B1158" i="1"/>
  <c r="C1158" i="1"/>
  <c r="D1158" i="1"/>
  <c r="E1158" i="1"/>
  <c r="A1159" i="1"/>
  <c r="B1159" i="1"/>
  <c r="C1159" i="1"/>
  <c r="D1159" i="1"/>
  <c r="E1159" i="1"/>
  <c r="A1160" i="1"/>
  <c r="B1160" i="1"/>
  <c r="C1160" i="1"/>
  <c r="D1160" i="1"/>
  <c r="E1160" i="1"/>
  <c r="A1161" i="1"/>
  <c r="B1161" i="1"/>
  <c r="C1161" i="1"/>
  <c r="D1161" i="1"/>
  <c r="E1161" i="1"/>
  <c r="A1162" i="1"/>
  <c r="B1162" i="1"/>
  <c r="C1162" i="1"/>
  <c r="D1162" i="1"/>
  <c r="E1162" i="1"/>
  <c r="A1163" i="1"/>
  <c r="B1163" i="1"/>
  <c r="C1163" i="1"/>
  <c r="D1163" i="1"/>
  <c r="E1163" i="1"/>
  <c r="A1164" i="1"/>
  <c r="B1164" i="1"/>
  <c r="C1164" i="1"/>
  <c r="D1164" i="1"/>
  <c r="E1164" i="1"/>
  <c r="A1165" i="1"/>
  <c r="B1165" i="1"/>
  <c r="C1165" i="1"/>
  <c r="D1165" i="1"/>
  <c r="E1165" i="1"/>
  <c r="A1166" i="1"/>
  <c r="B1166" i="1"/>
  <c r="C1166" i="1"/>
  <c r="D1166" i="1"/>
  <c r="E1166" i="1"/>
  <c r="A1167" i="1"/>
  <c r="B1167" i="1"/>
  <c r="C1167" i="1"/>
  <c r="D1167" i="1"/>
  <c r="E1167" i="1"/>
  <c r="A1168" i="1"/>
  <c r="B1168" i="1"/>
  <c r="C1168" i="1"/>
  <c r="D1168" i="1"/>
  <c r="E1168" i="1"/>
  <c r="A1169" i="1"/>
  <c r="B1169" i="1"/>
  <c r="C1169" i="1"/>
  <c r="D1169" i="1"/>
  <c r="E1169" i="1"/>
  <c r="A1170" i="1"/>
  <c r="B1170" i="1"/>
  <c r="C1170" i="1"/>
  <c r="D1170" i="1"/>
  <c r="E1170" i="1"/>
  <c r="A1171" i="1"/>
  <c r="B1171" i="1"/>
  <c r="C1171" i="1"/>
  <c r="D1171" i="1"/>
  <c r="E1171" i="1"/>
  <c r="A1172" i="1"/>
  <c r="B1172" i="1"/>
  <c r="C1172" i="1"/>
  <c r="D1172" i="1"/>
  <c r="E1172" i="1"/>
  <c r="A1173" i="1"/>
  <c r="B1173" i="1"/>
  <c r="C1173" i="1"/>
  <c r="D1173" i="1"/>
  <c r="E1173" i="1"/>
  <c r="A1174" i="1"/>
  <c r="B1174" i="1"/>
  <c r="C1174" i="1"/>
  <c r="D1174" i="1"/>
  <c r="E1174" i="1"/>
  <c r="A1175" i="1"/>
  <c r="B1175" i="1"/>
  <c r="C1175" i="1"/>
  <c r="D1175" i="1"/>
  <c r="E1175" i="1"/>
  <c r="A1176" i="1"/>
  <c r="B1176" i="1"/>
  <c r="C1176" i="1"/>
  <c r="D1176" i="1"/>
  <c r="E1176" i="1"/>
  <c r="A1177" i="1"/>
  <c r="B1177" i="1"/>
  <c r="C1177" i="1"/>
  <c r="D1177" i="1"/>
  <c r="E1177" i="1"/>
  <c r="A1178" i="1"/>
  <c r="B1178" i="1"/>
  <c r="C1178" i="1"/>
  <c r="D1178" i="1"/>
  <c r="E1178" i="1"/>
  <c r="A1179" i="1"/>
  <c r="B1179" i="1"/>
  <c r="C1179" i="1"/>
  <c r="D1179" i="1"/>
  <c r="E1179" i="1"/>
  <c r="A1180" i="1"/>
  <c r="B1180" i="1"/>
  <c r="C1180" i="1"/>
  <c r="D1180" i="1"/>
  <c r="E1180" i="1"/>
  <c r="A1181" i="1"/>
  <c r="B1181" i="1"/>
  <c r="C1181" i="1"/>
  <c r="D1181" i="1"/>
  <c r="E1181" i="1"/>
  <c r="A1182" i="1"/>
  <c r="B1182" i="1"/>
  <c r="C1182" i="1"/>
  <c r="D1182" i="1"/>
  <c r="E1182" i="1"/>
  <c r="A1183" i="1"/>
  <c r="B1183" i="1"/>
  <c r="C1183" i="1"/>
  <c r="D1183" i="1"/>
  <c r="E1183" i="1"/>
  <c r="A1184" i="1"/>
  <c r="B1184" i="1"/>
  <c r="C1184" i="1"/>
  <c r="D1184" i="1"/>
  <c r="E1184" i="1"/>
  <c r="A1185" i="1"/>
  <c r="B1185" i="1"/>
  <c r="C1185" i="1"/>
  <c r="D1185" i="1"/>
  <c r="E1185" i="1"/>
  <c r="A1186" i="1"/>
  <c r="B1186" i="1"/>
  <c r="C1186" i="1"/>
  <c r="D1186" i="1"/>
  <c r="E1186" i="1"/>
  <c r="A1187" i="1"/>
  <c r="B1187" i="1"/>
  <c r="C1187" i="1"/>
  <c r="D1187" i="1"/>
  <c r="E1187" i="1"/>
  <c r="A1188" i="1"/>
  <c r="B1188" i="1"/>
  <c r="C1188" i="1"/>
  <c r="D1188" i="1"/>
  <c r="E1188" i="1"/>
  <c r="A1189" i="1"/>
  <c r="B1189" i="1"/>
  <c r="C1189" i="1"/>
  <c r="D1189" i="1"/>
  <c r="E1189" i="1"/>
  <c r="A1190" i="1"/>
  <c r="B1190" i="1"/>
  <c r="C1190" i="1"/>
  <c r="D1190" i="1"/>
  <c r="E1190" i="1"/>
  <c r="A1191" i="1"/>
  <c r="B1191" i="1"/>
  <c r="C1191" i="1"/>
  <c r="D1191" i="1"/>
  <c r="E1191" i="1"/>
  <c r="A1192" i="1"/>
  <c r="B1192" i="1"/>
  <c r="C1192" i="1"/>
  <c r="D1192" i="1"/>
  <c r="E1192" i="1"/>
  <c r="A1193" i="1"/>
  <c r="B1193" i="1"/>
  <c r="C1193" i="1"/>
  <c r="D1193" i="1"/>
  <c r="E1193" i="1"/>
  <c r="A1194" i="1"/>
  <c r="B1194" i="1"/>
  <c r="C1194" i="1"/>
  <c r="D1194" i="1"/>
  <c r="E1194" i="1"/>
  <c r="A1195" i="1"/>
  <c r="B1195" i="1"/>
  <c r="C1195" i="1"/>
  <c r="D1195" i="1"/>
  <c r="E1195" i="1"/>
  <c r="A1196" i="1"/>
  <c r="B1196" i="1"/>
  <c r="C1196" i="1"/>
  <c r="D1196" i="1"/>
  <c r="E1196" i="1"/>
  <c r="A1197" i="1"/>
  <c r="B1197" i="1"/>
  <c r="C1197" i="1"/>
  <c r="D1197" i="1"/>
  <c r="E1197" i="1"/>
  <c r="A1198" i="1"/>
  <c r="B1198" i="1"/>
  <c r="C1198" i="1"/>
  <c r="D1198" i="1"/>
  <c r="E1198" i="1"/>
  <c r="A1199" i="1"/>
  <c r="B1199" i="1"/>
  <c r="C1199" i="1"/>
  <c r="D1199" i="1"/>
  <c r="E1199" i="1"/>
  <c r="A1200" i="1"/>
  <c r="B1200" i="1"/>
  <c r="C1200" i="1"/>
  <c r="D1200" i="1"/>
  <c r="E1200" i="1"/>
  <c r="A1201" i="1"/>
  <c r="B1201" i="1"/>
  <c r="C1201" i="1"/>
  <c r="D1201" i="1"/>
  <c r="E1201" i="1"/>
  <c r="A1202" i="1"/>
  <c r="B1202" i="1"/>
  <c r="C1202" i="1"/>
  <c r="D1202" i="1"/>
  <c r="E1202" i="1"/>
  <c r="A1203" i="1"/>
  <c r="B1203" i="1"/>
  <c r="C1203" i="1"/>
  <c r="D1203" i="1"/>
  <c r="E1203" i="1"/>
  <c r="A1204" i="1"/>
  <c r="B1204" i="1"/>
  <c r="C1204" i="1"/>
  <c r="D1204" i="1"/>
  <c r="E1204" i="1"/>
  <c r="A1205" i="1"/>
  <c r="B1205" i="1"/>
  <c r="C1205" i="1"/>
  <c r="D1205" i="1"/>
  <c r="E1205" i="1"/>
  <c r="A1206" i="1"/>
  <c r="B1206" i="1"/>
  <c r="C1206" i="1"/>
  <c r="D1206" i="1"/>
  <c r="E1206" i="1"/>
  <c r="A1207" i="1"/>
  <c r="B1207" i="1"/>
  <c r="C1207" i="1"/>
  <c r="D1207" i="1"/>
  <c r="E1207" i="1"/>
  <c r="A1208" i="1"/>
  <c r="B1208" i="1"/>
  <c r="C1208" i="1"/>
  <c r="D1208" i="1"/>
  <c r="E1208" i="1"/>
  <c r="A1209" i="1"/>
  <c r="B1209" i="1"/>
  <c r="C1209" i="1"/>
  <c r="D1209" i="1"/>
  <c r="E1209" i="1"/>
  <c r="A1210" i="1"/>
  <c r="B1210" i="1"/>
  <c r="C1210" i="1"/>
  <c r="D1210" i="1"/>
  <c r="E1210" i="1"/>
  <c r="A1211" i="1"/>
  <c r="B1211" i="1"/>
  <c r="C1211" i="1"/>
  <c r="D1211" i="1"/>
  <c r="E1211" i="1"/>
  <c r="A1212" i="1"/>
  <c r="B1212" i="1"/>
  <c r="C1212" i="1"/>
  <c r="D1212" i="1"/>
  <c r="E1212" i="1"/>
  <c r="A1213" i="1"/>
  <c r="B1213" i="1"/>
  <c r="C1213" i="1"/>
  <c r="D1213" i="1"/>
  <c r="E1213" i="1"/>
  <c r="A1214" i="1"/>
  <c r="B1214" i="1"/>
  <c r="C1214" i="1"/>
  <c r="D1214" i="1"/>
  <c r="E1214" i="1"/>
  <c r="A1215" i="1"/>
  <c r="B1215" i="1"/>
  <c r="C1215" i="1"/>
  <c r="D1215" i="1"/>
  <c r="E1215" i="1"/>
  <c r="A1216" i="1"/>
  <c r="B1216" i="1"/>
  <c r="C1216" i="1"/>
  <c r="D1216" i="1"/>
  <c r="E1216" i="1"/>
  <c r="A1217" i="1"/>
  <c r="B1217" i="1"/>
  <c r="C1217" i="1"/>
  <c r="D1217" i="1"/>
  <c r="E1217" i="1"/>
  <c r="A1218" i="1"/>
  <c r="B1218" i="1"/>
  <c r="C1218" i="1"/>
  <c r="D1218" i="1"/>
  <c r="E1218" i="1"/>
  <c r="A1219" i="1"/>
  <c r="B1219" i="1"/>
  <c r="C1219" i="1"/>
  <c r="D1219" i="1"/>
  <c r="E1219" i="1"/>
  <c r="A1220" i="1"/>
  <c r="B1220" i="1"/>
  <c r="C1220" i="1"/>
  <c r="D1220" i="1"/>
  <c r="E1220" i="1"/>
  <c r="A1221" i="1"/>
  <c r="B1221" i="1"/>
  <c r="C1221" i="1"/>
  <c r="D1221" i="1"/>
  <c r="E1221" i="1"/>
  <c r="A1222" i="1"/>
  <c r="B1222" i="1"/>
  <c r="C1222" i="1"/>
  <c r="D1222" i="1"/>
  <c r="E1222" i="1"/>
  <c r="A1223" i="1"/>
  <c r="B1223" i="1"/>
  <c r="C1223" i="1"/>
  <c r="D1223" i="1"/>
  <c r="E1223" i="1"/>
  <c r="A1224" i="1"/>
  <c r="B1224" i="1"/>
  <c r="C1224" i="1"/>
  <c r="D1224" i="1"/>
  <c r="E1224" i="1"/>
  <c r="A1225" i="1"/>
  <c r="B1225" i="1"/>
  <c r="C1225" i="1"/>
  <c r="D1225" i="1"/>
  <c r="E1225" i="1"/>
  <c r="A1226" i="1"/>
  <c r="B1226" i="1"/>
  <c r="C1226" i="1"/>
  <c r="D1226" i="1"/>
  <c r="E1226" i="1"/>
  <c r="A1227" i="1"/>
  <c r="B1227" i="1"/>
  <c r="C1227" i="1"/>
  <c r="D1227" i="1"/>
  <c r="E1227" i="1"/>
  <c r="A1228" i="1"/>
  <c r="B1228" i="1"/>
  <c r="C1228" i="1"/>
  <c r="D1228" i="1"/>
  <c r="E1228" i="1"/>
  <c r="A1229" i="1"/>
  <c r="B1229" i="1"/>
  <c r="C1229" i="1"/>
  <c r="D1229" i="1"/>
  <c r="E1229" i="1"/>
  <c r="A1230" i="1"/>
  <c r="B1230" i="1"/>
  <c r="C1230" i="1"/>
  <c r="D1230" i="1"/>
  <c r="E1230" i="1"/>
  <c r="A1231" i="1"/>
  <c r="B1231" i="1"/>
  <c r="C1231" i="1"/>
  <c r="D1231" i="1"/>
  <c r="E1231" i="1"/>
  <c r="A1232" i="1"/>
  <c r="B1232" i="1"/>
  <c r="C1232" i="1"/>
  <c r="D1232" i="1"/>
  <c r="E1232" i="1"/>
  <c r="A1233" i="1"/>
  <c r="B1233" i="1"/>
  <c r="C1233" i="1"/>
  <c r="D1233" i="1"/>
  <c r="E1233" i="1"/>
  <c r="A1234" i="1"/>
  <c r="B1234" i="1"/>
  <c r="C1234" i="1"/>
  <c r="D1234" i="1"/>
  <c r="E1234" i="1"/>
  <c r="A1235" i="1"/>
  <c r="B1235" i="1"/>
  <c r="C1235" i="1"/>
  <c r="D1235" i="1"/>
  <c r="E1235" i="1"/>
  <c r="A1236" i="1"/>
  <c r="B1236" i="1"/>
  <c r="C1236" i="1"/>
  <c r="D1236" i="1"/>
  <c r="E1236" i="1"/>
  <c r="A1237" i="1"/>
  <c r="B1237" i="1"/>
  <c r="C1237" i="1"/>
  <c r="D1237" i="1"/>
  <c r="E1237" i="1"/>
  <c r="A1238" i="1"/>
  <c r="B1238" i="1"/>
  <c r="C1238" i="1"/>
  <c r="D1238" i="1"/>
  <c r="E1238" i="1"/>
  <c r="A1239" i="1"/>
  <c r="B1239" i="1"/>
  <c r="C1239" i="1"/>
  <c r="D1239" i="1"/>
  <c r="E1239" i="1"/>
  <c r="A1240" i="1"/>
  <c r="B1240" i="1"/>
  <c r="C1240" i="1"/>
  <c r="D1240" i="1"/>
  <c r="E1240" i="1"/>
  <c r="A1241" i="1"/>
  <c r="B1241" i="1"/>
  <c r="C1241" i="1"/>
  <c r="D1241" i="1"/>
  <c r="E1241" i="1"/>
  <c r="A1242" i="1"/>
  <c r="B1242" i="1"/>
  <c r="C1242" i="1"/>
  <c r="D1242" i="1"/>
  <c r="E1242" i="1"/>
  <c r="A1243" i="1"/>
  <c r="B1243" i="1"/>
  <c r="C1243" i="1"/>
  <c r="D1243" i="1"/>
  <c r="E1243" i="1"/>
  <c r="A1244" i="1"/>
  <c r="B1244" i="1"/>
  <c r="C1244" i="1"/>
  <c r="D1244" i="1"/>
  <c r="E1244" i="1"/>
  <c r="A1245" i="1"/>
  <c r="B1245" i="1"/>
  <c r="C1245" i="1"/>
  <c r="D1245" i="1"/>
  <c r="E1245" i="1"/>
  <c r="A1246" i="1"/>
  <c r="B1246" i="1"/>
  <c r="C1246" i="1"/>
  <c r="D1246" i="1"/>
  <c r="E1246" i="1"/>
  <c r="A1247" i="1"/>
  <c r="B1247" i="1"/>
  <c r="C1247" i="1"/>
  <c r="D1247" i="1"/>
  <c r="E1247" i="1"/>
  <c r="A1248" i="1"/>
  <c r="B1248" i="1"/>
  <c r="C1248" i="1"/>
  <c r="D1248" i="1"/>
  <c r="E1248" i="1"/>
  <c r="A1249" i="1"/>
  <c r="B1249" i="1"/>
  <c r="C1249" i="1"/>
  <c r="D1249" i="1"/>
  <c r="E1249" i="1"/>
  <c r="A1250" i="1"/>
  <c r="B1250" i="1"/>
  <c r="C1250" i="1"/>
  <c r="D1250" i="1"/>
  <c r="E1250" i="1"/>
  <c r="A1251" i="1"/>
  <c r="B1251" i="1"/>
  <c r="C1251" i="1"/>
  <c r="D1251" i="1"/>
  <c r="E1251" i="1"/>
  <c r="A1252" i="1"/>
  <c r="B1252" i="1"/>
  <c r="C1252" i="1"/>
  <c r="D1252" i="1"/>
  <c r="E1252" i="1"/>
  <c r="A1253" i="1"/>
  <c r="B1253" i="1"/>
  <c r="C1253" i="1"/>
  <c r="D1253" i="1"/>
  <c r="E1253" i="1"/>
  <c r="A1254" i="1"/>
  <c r="B1254" i="1"/>
  <c r="C1254" i="1"/>
  <c r="D1254" i="1"/>
  <c r="E1254" i="1"/>
  <c r="A1255" i="1"/>
  <c r="B1255" i="1"/>
  <c r="C1255" i="1"/>
  <c r="D1255" i="1"/>
  <c r="E1255" i="1"/>
  <c r="A1256" i="1"/>
  <c r="B1256" i="1"/>
  <c r="C1256" i="1"/>
  <c r="D1256" i="1"/>
  <c r="E1256" i="1"/>
  <c r="A1257" i="1"/>
  <c r="B1257" i="1"/>
  <c r="C1257" i="1"/>
  <c r="D1257" i="1"/>
  <c r="E1257" i="1"/>
  <c r="A1258" i="1"/>
  <c r="B1258" i="1"/>
  <c r="C1258" i="1"/>
  <c r="D1258" i="1"/>
  <c r="E1258" i="1"/>
  <c r="A1259" i="1"/>
  <c r="B1259" i="1"/>
  <c r="C1259" i="1"/>
  <c r="D1259" i="1"/>
  <c r="E1259" i="1"/>
  <c r="A1260" i="1"/>
  <c r="B1260" i="1"/>
  <c r="C1260" i="1"/>
  <c r="D1260" i="1"/>
  <c r="E1260" i="1"/>
  <c r="A1261" i="1"/>
  <c r="B1261" i="1"/>
  <c r="C1261" i="1"/>
  <c r="D1261" i="1"/>
  <c r="E1261" i="1"/>
  <c r="A1262" i="1"/>
  <c r="B1262" i="1"/>
  <c r="C1262" i="1"/>
  <c r="D1262" i="1"/>
  <c r="E1262" i="1"/>
  <c r="A1263" i="1"/>
  <c r="B1263" i="1"/>
  <c r="C1263" i="1"/>
  <c r="D1263" i="1"/>
  <c r="E1263" i="1"/>
  <c r="A1264" i="1"/>
  <c r="B1264" i="1"/>
  <c r="C1264" i="1"/>
  <c r="D1264" i="1"/>
  <c r="E1264" i="1"/>
  <c r="A1265" i="1"/>
  <c r="B1265" i="1"/>
  <c r="C1265" i="1"/>
  <c r="D1265" i="1"/>
  <c r="E1265" i="1"/>
  <c r="A1266" i="1"/>
  <c r="B1266" i="1"/>
  <c r="C1266" i="1"/>
  <c r="D1266" i="1"/>
  <c r="E1266" i="1"/>
  <c r="A1267" i="1"/>
  <c r="B1267" i="1"/>
  <c r="C1267" i="1"/>
  <c r="D1267" i="1"/>
  <c r="E1267" i="1"/>
  <c r="A1268" i="1"/>
  <c r="B1268" i="1"/>
  <c r="C1268" i="1"/>
  <c r="D1268" i="1"/>
  <c r="E1268" i="1"/>
  <c r="A1269" i="1"/>
  <c r="B1269" i="1"/>
  <c r="C1269" i="1"/>
  <c r="D1269" i="1"/>
  <c r="E1269" i="1"/>
  <c r="A1270" i="1"/>
  <c r="B1270" i="1"/>
  <c r="C1270" i="1"/>
  <c r="D1270" i="1"/>
  <c r="E1270" i="1"/>
  <c r="A1271" i="1"/>
  <c r="B1271" i="1"/>
  <c r="C1271" i="1"/>
  <c r="D1271" i="1"/>
  <c r="E1271" i="1"/>
  <c r="A1272" i="1"/>
  <c r="B1272" i="1"/>
  <c r="C1272" i="1"/>
  <c r="D1272" i="1"/>
  <c r="E1272" i="1"/>
  <c r="A1273" i="1"/>
  <c r="B1273" i="1"/>
  <c r="C1273" i="1"/>
  <c r="D1273" i="1"/>
  <c r="E1273" i="1"/>
  <c r="A1274" i="1"/>
  <c r="B1274" i="1"/>
  <c r="C1274" i="1"/>
  <c r="D1274" i="1"/>
  <c r="E1274" i="1"/>
  <c r="A1275" i="1"/>
  <c r="B1275" i="1"/>
  <c r="C1275" i="1"/>
  <c r="D1275" i="1"/>
  <c r="E1275" i="1"/>
  <c r="A1276" i="1"/>
  <c r="B1276" i="1"/>
  <c r="C1276" i="1"/>
  <c r="D1276" i="1"/>
  <c r="E1276" i="1"/>
  <c r="A1277" i="1"/>
  <c r="B1277" i="1"/>
  <c r="C1277" i="1"/>
  <c r="D1277" i="1"/>
  <c r="E1277" i="1"/>
  <c r="A1278" i="1"/>
  <c r="B1278" i="1"/>
  <c r="C1278" i="1"/>
  <c r="D1278" i="1"/>
  <c r="E1278" i="1"/>
  <c r="A1279" i="1"/>
  <c r="B1279" i="1"/>
  <c r="C1279" i="1"/>
  <c r="D1279" i="1"/>
  <c r="E1279" i="1"/>
  <c r="A1280" i="1"/>
  <c r="B1280" i="1"/>
  <c r="C1280" i="1"/>
  <c r="D1280" i="1"/>
  <c r="E1280" i="1"/>
  <c r="A1281" i="1"/>
  <c r="B1281" i="1"/>
  <c r="C1281" i="1"/>
  <c r="D1281" i="1"/>
  <c r="E1281" i="1"/>
  <c r="A1282" i="1"/>
  <c r="B1282" i="1"/>
  <c r="C1282" i="1"/>
  <c r="D1282" i="1"/>
  <c r="E1282" i="1"/>
  <c r="A1283" i="1"/>
  <c r="B1283" i="1"/>
  <c r="C1283" i="1"/>
  <c r="D1283" i="1"/>
  <c r="E1283" i="1"/>
  <c r="A1284" i="1"/>
  <c r="B1284" i="1"/>
  <c r="C1284" i="1"/>
  <c r="D1284" i="1"/>
  <c r="E1284" i="1"/>
  <c r="A1285" i="1"/>
  <c r="B1285" i="1"/>
  <c r="C1285" i="1"/>
  <c r="D1285" i="1"/>
  <c r="E1285" i="1"/>
  <c r="A1286" i="1"/>
  <c r="B1286" i="1"/>
  <c r="C1286" i="1"/>
  <c r="D1286" i="1"/>
  <c r="E1286" i="1"/>
  <c r="A1287" i="1"/>
  <c r="B1287" i="1"/>
  <c r="C1287" i="1"/>
  <c r="D1287" i="1"/>
  <c r="E1287" i="1"/>
  <c r="A1288" i="1"/>
  <c r="B1288" i="1"/>
  <c r="C1288" i="1"/>
  <c r="D1288" i="1"/>
  <c r="E1288" i="1"/>
  <c r="A1289" i="1"/>
  <c r="B1289" i="1"/>
  <c r="C1289" i="1"/>
  <c r="D1289" i="1"/>
  <c r="E1289" i="1"/>
  <c r="A1290" i="1"/>
  <c r="B1290" i="1"/>
  <c r="C1290" i="1"/>
  <c r="D1290" i="1"/>
  <c r="E1290" i="1"/>
  <c r="A1291" i="1"/>
  <c r="B1291" i="1"/>
  <c r="C1291" i="1"/>
  <c r="D1291" i="1"/>
  <c r="E1291" i="1"/>
  <c r="A1292" i="1"/>
  <c r="B1292" i="1"/>
  <c r="C1292" i="1"/>
  <c r="D1292" i="1"/>
  <c r="E1292" i="1"/>
  <c r="A1293" i="1"/>
  <c r="B1293" i="1"/>
  <c r="C1293" i="1"/>
  <c r="D1293" i="1"/>
  <c r="E1293" i="1"/>
  <c r="A1294" i="1"/>
  <c r="B1294" i="1"/>
  <c r="C1294" i="1"/>
  <c r="D1294" i="1"/>
  <c r="E1294" i="1"/>
  <c r="A1295" i="1"/>
  <c r="B1295" i="1"/>
  <c r="C1295" i="1"/>
  <c r="D1295" i="1"/>
  <c r="E1295" i="1"/>
  <c r="A1296" i="1"/>
  <c r="B1296" i="1"/>
  <c r="C1296" i="1"/>
  <c r="D1296" i="1"/>
  <c r="E1296" i="1"/>
  <c r="A1297" i="1"/>
  <c r="B1297" i="1"/>
  <c r="C1297" i="1"/>
  <c r="D1297" i="1"/>
  <c r="E1297" i="1"/>
  <c r="A1298" i="1"/>
  <c r="B1298" i="1"/>
  <c r="C1298" i="1"/>
  <c r="D1298" i="1"/>
  <c r="E1298" i="1"/>
  <c r="A1299" i="1"/>
  <c r="B1299" i="1"/>
  <c r="C1299" i="1"/>
  <c r="D1299" i="1"/>
  <c r="E1299" i="1"/>
  <c r="A1300" i="1"/>
  <c r="B1300" i="1"/>
  <c r="C1300" i="1"/>
  <c r="D1300" i="1"/>
  <c r="E1300" i="1"/>
  <c r="A1301" i="1"/>
  <c r="B1301" i="1"/>
  <c r="C1301" i="1"/>
  <c r="D1301" i="1"/>
  <c r="E1301" i="1"/>
  <c r="A1302" i="1"/>
  <c r="B1302" i="1"/>
  <c r="C1302" i="1"/>
  <c r="D1302" i="1"/>
  <c r="E1302" i="1"/>
  <c r="A1303" i="1"/>
  <c r="B1303" i="1"/>
  <c r="C1303" i="1"/>
  <c r="D1303" i="1"/>
  <c r="E1303" i="1"/>
  <c r="A1304" i="1"/>
  <c r="B1304" i="1"/>
  <c r="C1304" i="1"/>
  <c r="D1304" i="1"/>
  <c r="E1304" i="1"/>
  <c r="A1305" i="1"/>
  <c r="B1305" i="1"/>
  <c r="C1305" i="1"/>
  <c r="D1305" i="1"/>
  <c r="E1305" i="1"/>
  <c r="A1306" i="1"/>
  <c r="B1306" i="1"/>
  <c r="C1306" i="1"/>
  <c r="D1306" i="1"/>
  <c r="E1306" i="1"/>
  <c r="A1307" i="1"/>
  <c r="B1307" i="1"/>
  <c r="C1307" i="1"/>
  <c r="D1307" i="1"/>
  <c r="E1307" i="1"/>
  <c r="A1308" i="1"/>
  <c r="B1308" i="1"/>
  <c r="C1308" i="1"/>
  <c r="D1308" i="1"/>
  <c r="E1308" i="1"/>
  <c r="A1309" i="1"/>
  <c r="B1309" i="1"/>
  <c r="C1309" i="1"/>
  <c r="D1309" i="1"/>
  <c r="E1309" i="1"/>
  <c r="A1310" i="1"/>
  <c r="B1310" i="1"/>
  <c r="C1310" i="1"/>
  <c r="D1310" i="1"/>
  <c r="E1310" i="1"/>
  <c r="A1311" i="1"/>
  <c r="B1311" i="1"/>
  <c r="C1311" i="1"/>
  <c r="D1311" i="1"/>
  <c r="E1311" i="1"/>
  <c r="A1312" i="1"/>
  <c r="B1312" i="1"/>
  <c r="C1312" i="1"/>
  <c r="D1312" i="1"/>
  <c r="E1312" i="1"/>
  <c r="A1313" i="1"/>
  <c r="B1313" i="1"/>
  <c r="C1313" i="1"/>
  <c r="D1313" i="1"/>
  <c r="E1313" i="1"/>
  <c r="A1314" i="1"/>
  <c r="B1314" i="1"/>
  <c r="C1314" i="1"/>
  <c r="D1314" i="1"/>
  <c r="E1314" i="1"/>
  <c r="A1315" i="1"/>
  <c r="B1315" i="1"/>
  <c r="C1315" i="1"/>
  <c r="D1315" i="1"/>
  <c r="E1315" i="1"/>
  <c r="A1316" i="1"/>
  <c r="B1316" i="1"/>
  <c r="C1316" i="1"/>
  <c r="D1316" i="1"/>
  <c r="E1316" i="1"/>
  <c r="A1317" i="1"/>
  <c r="B1317" i="1"/>
  <c r="C1317" i="1"/>
  <c r="D1317" i="1"/>
  <c r="E1317" i="1"/>
  <c r="A1318" i="1"/>
  <c r="B1318" i="1"/>
  <c r="C1318" i="1"/>
  <c r="D1318" i="1"/>
  <c r="E1318" i="1"/>
  <c r="A1319" i="1"/>
  <c r="B1319" i="1"/>
  <c r="C1319" i="1"/>
  <c r="D1319" i="1"/>
  <c r="E1319" i="1"/>
  <c r="A1320" i="1"/>
  <c r="B1320" i="1"/>
  <c r="C1320" i="1"/>
  <c r="D1320" i="1"/>
  <c r="E1320" i="1"/>
  <c r="A1321" i="1"/>
  <c r="B1321" i="1"/>
  <c r="C1321" i="1"/>
  <c r="D1321" i="1"/>
  <c r="E1321" i="1"/>
  <c r="A1322" i="1"/>
  <c r="B1322" i="1"/>
  <c r="C1322" i="1"/>
  <c r="D1322" i="1"/>
  <c r="E1322" i="1"/>
  <c r="A1323" i="1"/>
  <c r="B1323" i="1"/>
  <c r="C1323" i="1"/>
  <c r="D1323" i="1"/>
  <c r="E1323" i="1"/>
  <c r="A1324" i="1"/>
  <c r="B1324" i="1"/>
  <c r="C1324" i="1"/>
  <c r="D1324" i="1"/>
  <c r="E1324" i="1"/>
  <c r="A1325" i="1"/>
  <c r="B1325" i="1"/>
  <c r="C1325" i="1"/>
  <c r="D1325" i="1"/>
  <c r="E1325" i="1"/>
  <c r="A1326" i="1"/>
  <c r="B1326" i="1"/>
  <c r="C1326" i="1"/>
  <c r="D1326" i="1"/>
  <c r="E1326" i="1"/>
  <c r="A1327" i="1"/>
  <c r="B1327" i="1"/>
  <c r="C1327" i="1"/>
  <c r="D1327" i="1"/>
  <c r="E1327" i="1"/>
  <c r="A1328" i="1"/>
  <c r="B1328" i="1"/>
  <c r="C1328" i="1"/>
  <c r="D1328" i="1"/>
  <c r="E1328" i="1"/>
  <c r="A1329" i="1"/>
  <c r="B1329" i="1"/>
  <c r="C1329" i="1"/>
  <c r="D1329" i="1"/>
  <c r="E1329" i="1"/>
  <c r="A1330" i="1"/>
  <c r="B1330" i="1"/>
  <c r="C1330" i="1"/>
  <c r="D1330" i="1"/>
  <c r="E1330" i="1"/>
  <c r="A1331" i="1"/>
  <c r="B1331" i="1"/>
  <c r="C1331" i="1"/>
  <c r="D1331" i="1"/>
  <c r="E1331" i="1"/>
  <c r="A1332" i="1"/>
  <c r="B1332" i="1"/>
  <c r="C1332" i="1"/>
  <c r="D1332" i="1"/>
  <c r="E1332" i="1"/>
  <c r="A1333" i="1"/>
  <c r="B1333" i="1"/>
  <c r="C1333" i="1"/>
  <c r="D1333" i="1"/>
  <c r="E1333" i="1"/>
  <c r="A1334" i="1"/>
  <c r="B1334" i="1"/>
  <c r="C1334" i="1"/>
  <c r="D1334" i="1"/>
  <c r="E1334" i="1"/>
  <c r="A1335" i="1"/>
  <c r="B1335" i="1"/>
  <c r="C1335" i="1"/>
  <c r="D1335" i="1"/>
  <c r="E1335" i="1"/>
  <c r="A1336" i="1"/>
  <c r="B1336" i="1"/>
  <c r="C1336" i="1"/>
  <c r="D1336" i="1"/>
  <c r="E1336" i="1"/>
  <c r="A1337" i="1"/>
  <c r="B1337" i="1"/>
  <c r="C1337" i="1"/>
  <c r="D1337" i="1"/>
  <c r="E1337" i="1"/>
  <c r="A1338" i="1"/>
  <c r="B1338" i="1"/>
  <c r="C1338" i="1"/>
  <c r="D1338" i="1"/>
  <c r="E1338" i="1"/>
  <c r="A1339" i="1"/>
  <c r="B1339" i="1"/>
  <c r="C1339" i="1"/>
  <c r="D1339" i="1"/>
  <c r="E1339" i="1"/>
  <c r="A1340" i="1"/>
  <c r="B1340" i="1"/>
  <c r="C1340" i="1"/>
  <c r="D1340" i="1"/>
  <c r="E1340" i="1"/>
  <c r="A1341" i="1"/>
  <c r="B1341" i="1"/>
  <c r="C1341" i="1"/>
  <c r="D1341" i="1"/>
  <c r="E1341" i="1"/>
  <c r="A1342" i="1"/>
  <c r="B1342" i="1"/>
  <c r="C1342" i="1"/>
  <c r="D1342" i="1"/>
  <c r="E1342" i="1"/>
  <c r="A1343" i="1"/>
  <c r="B1343" i="1"/>
  <c r="C1343" i="1"/>
  <c r="D1343" i="1"/>
  <c r="E1343" i="1"/>
  <c r="A1344" i="1"/>
  <c r="B1344" i="1"/>
  <c r="C1344" i="1"/>
  <c r="D1344" i="1"/>
  <c r="E1344" i="1"/>
  <c r="A1345" i="1"/>
  <c r="B1345" i="1"/>
  <c r="C1345" i="1"/>
  <c r="D1345" i="1"/>
  <c r="E1345" i="1"/>
  <c r="A1346" i="1"/>
  <c r="B1346" i="1"/>
  <c r="C1346" i="1"/>
  <c r="D1346" i="1"/>
  <c r="E1346" i="1"/>
  <c r="A1347" i="1"/>
  <c r="B1347" i="1"/>
  <c r="C1347" i="1"/>
  <c r="D1347" i="1"/>
  <c r="E1347" i="1"/>
  <c r="A1348" i="1"/>
  <c r="B1348" i="1"/>
  <c r="C1348" i="1"/>
  <c r="D1348" i="1"/>
  <c r="E1348" i="1"/>
  <c r="A1349" i="1"/>
  <c r="B1349" i="1"/>
  <c r="C1349" i="1"/>
  <c r="D1349" i="1"/>
  <c r="E1349" i="1"/>
  <c r="A1350" i="1"/>
  <c r="B1350" i="1"/>
  <c r="C1350" i="1"/>
  <c r="D1350" i="1"/>
  <c r="E1350" i="1"/>
  <c r="A1351" i="1"/>
  <c r="B1351" i="1"/>
  <c r="C1351" i="1"/>
  <c r="D1351" i="1"/>
  <c r="E1351" i="1"/>
  <c r="A1352" i="1"/>
  <c r="B1352" i="1"/>
  <c r="C1352" i="1"/>
  <c r="D1352" i="1"/>
  <c r="E1352" i="1"/>
  <c r="A1353" i="1"/>
  <c r="B1353" i="1"/>
  <c r="C1353" i="1"/>
  <c r="D1353" i="1"/>
  <c r="E1353" i="1"/>
  <c r="A1354" i="1"/>
  <c r="B1354" i="1"/>
  <c r="C1354" i="1"/>
  <c r="D1354" i="1"/>
  <c r="E1354" i="1"/>
  <c r="A1355" i="1"/>
  <c r="B1355" i="1"/>
  <c r="C1355" i="1"/>
  <c r="D1355" i="1"/>
  <c r="E1355" i="1"/>
  <c r="A1356" i="1"/>
  <c r="B1356" i="1"/>
  <c r="C1356" i="1"/>
  <c r="D1356" i="1"/>
  <c r="E1356" i="1"/>
  <c r="A1357" i="1"/>
  <c r="B1357" i="1"/>
  <c r="C1357" i="1"/>
  <c r="D1357" i="1"/>
  <c r="E1357" i="1"/>
  <c r="A1358" i="1"/>
  <c r="B1358" i="1"/>
  <c r="C1358" i="1"/>
  <c r="D1358" i="1"/>
  <c r="E1358" i="1"/>
  <c r="A1359" i="1"/>
  <c r="B1359" i="1"/>
  <c r="C1359" i="1"/>
  <c r="D1359" i="1"/>
  <c r="E1359" i="1"/>
  <c r="A1360" i="1"/>
  <c r="B1360" i="1"/>
  <c r="C1360" i="1"/>
  <c r="D1360" i="1"/>
  <c r="E1360" i="1"/>
  <c r="A1361" i="1"/>
  <c r="B1361" i="1"/>
  <c r="C1361" i="1"/>
  <c r="D1361" i="1"/>
  <c r="E1361" i="1"/>
  <c r="A1362" i="1"/>
  <c r="B1362" i="1"/>
  <c r="C1362" i="1"/>
  <c r="D1362" i="1"/>
  <c r="E1362" i="1"/>
  <c r="A1363" i="1"/>
  <c r="B1363" i="1"/>
  <c r="C1363" i="1"/>
  <c r="D1363" i="1"/>
  <c r="E1363" i="1"/>
  <c r="A1364" i="1"/>
  <c r="B1364" i="1"/>
  <c r="C1364" i="1"/>
  <c r="D1364" i="1"/>
  <c r="E1364" i="1"/>
  <c r="A1365" i="1"/>
  <c r="B1365" i="1"/>
  <c r="C1365" i="1"/>
  <c r="D1365" i="1"/>
  <c r="E1365" i="1"/>
  <c r="A1366" i="1"/>
  <c r="B1366" i="1"/>
  <c r="C1366" i="1"/>
  <c r="D1366" i="1"/>
  <c r="E1366" i="1"/>
  <c r="A1367" i="1"/>
  <c r="B1367" i="1"/>
  <c r="C1367" i="1"/>
  <c r="D1367" i="1"/>
  <c r="E1367" i="1"/>
  <c r="A1368" i="1"/>
  <c r="B1368" i="1"/>
  <c r="C1368" i="1"/>
  <c r="D1368" i="1"/>
  <c r="E1368" i="1"/>
  <c r="A1369" i="1"/>
  <c r="B1369" i="1"/>
  <c r="C1369" i="1"/>
  <c r="D1369" i="1"/>
  <c r="E1369" i="1"/>
  <c r="A1370" i="1"/>
  <c r="B1370" i="1"/>
  <c r="C1370" i="1"/>
  <c r="D1370" i="1"/>
  <c r="E1370" i="1"/>
  <c r="A1371" i="1"/>
  <c r="B1371" i="1"/>
  <c r="C1371" i="1"/>
  <c r="D1371" i="1"/>
  <c r="E1371" i="1"/>
  <c r="A1372" i="1"/>
  <c r="B1372" i="1"/>
  <c r="C1372" i="1"/>
  <c r="D1372" i="1"/>
  <c r="E1372" i="1"/>
  <c r="A1373" i="1"/>
  <c r="B1373" i="1"/>
  <c r="C1373" i="1"/>
  <c r="D1373" i="1"/>
  <c r="E1373" i="1"/>
  <c r="A1374" i="1"/>
  <c r="B1374" i="1"/>
  <c r="C1374" i="1"/>
  <c r="D1374" i="1"/>
  <c r="E1374" i="1"/>
  <c r="A1375" i="1"/>
  <c r="B1375" i="1"/>
  <c r="C1375" i="1"/>
  <c r="D1375" i="1"/>
  <c r="E1375" i="1"/>
  <c r="A1376" i="1"/>
  <c r="B1376" i="1"/>
  <c r="C1376" i="1"/>
  <c r="D1376" i="1"/>
  <c r="E1376" i="1"/>
  <c r="A1377" i="1"/>
  <c r="B1377" i="1"/>
  <c r="C1377" i="1"/>
  <c r="D1377" i="1"/>
  <c r="E1377" i="1"/>
  <c r="A1378" i="1"/>
  <c r="B1378" i="1"/>
  <c r="C1378" i="1"/>
  <c r="D1378" i="1"/>
  <c r="E1378" i="1"/>
  <c r="A1379" i="1"/>
  <c r="B1379" i="1"/>
  <c r="C1379" i="1"/>
  <c r="D1379" i="1"/>
  <c r="E1379" i="1"/>
  <c r="A1380" i="1"/>
  <c r="B1380" i="1"/>
  <c r="C1380" i="1"/>
  <c r="D1380" i="1"/>
  <c r="E1380" i="1"/>
  <c r="A1381" i="1"/>
  <c r="B1381" i="1"/>
  <c r="C1381" i="1"/>
  <c r="D1381" i="1"/>
  <c r="E1381" i="1"/>
  <c r="A1382" i="1"/>
  <c r="B1382" i="1"/>
  <c r="C1382" i="1"/>
  <c r="D1382" i="1"/>
  <c r="E1382" i="1"/>
  <c r="A1383" i="1"/>
  <c r="B1383" i="1"/>
  <c r="C1383" i="1"/>
  <c r="D1383" i="1"/>
  <c r="E1383" i="1"/>
  <c r="A1384" i="1"/>
  <c r="B1384" i="1"/>
  <c r="C1384" i="1"/>
  <c r="D1384" i="1"/>
  <c r="E1384" i="1"/>
  <c r="A1385" i="1"/>
  <c r="B1385" i="1"/>
  <c r="C1385" i="1"/>
  <c r="D1385" i="1"/>
  <c r="E1385" i="1"/>
  <c r="A1386" i="1"/>
  <c r="B1386" i="1"/>
  <c r="C1386" i="1"/>
  <c r="D1386" i="1"/>
  <c r="E1386" i="1"/>
  <c r="A1387" i="1"/>
  <c r="B1387" i="1"/>
  <c r="C1387" i="1"/>
  <c r="D1387" i="1"/>
  <c r="E1387" i="1"/>
  <c r="A1388" i="1"/>
  <c r="B1388" i="1"/>
  <c r="C1388" i="1"/>
  <c r="D1388" i="1"/>
  <c r="E1388" i="1"/>
  <c r="A1389" i="1"/>
  <c r="B1389" i="1"/>
  <c r="C1389" i="1"/>
  <c r="D1389" i="1"/>
  <c r="E1389" i="1"/>
  <c r="A1390" i="1"/>
  <c r="B1390" i="1"/>
  <c r="C1390" i="1"/>
  <c r="D1390" i="1"/>
  <c r="E1390" i="1"/>
  <c r="A1391" i="1"/>
  <c r="B1391" i="1"/>
  <c r="C1391" i="1"/>
  <c r="D1391" i="1"/>
  <c r="E1391" i="1"/>
  <c r="A1392" i="1"/>
  <c r="B1392" i="1"/>
  <c r="C1392" i="1"/>
  <c r="D1392" i="1"/>
  <c r="E1392" i="1"/>
  <c r="A1393" i="1"/>
  <c r="B1393" i="1"/>
  <c r="C1393" i="1"/>
  <c r="D1393" i="1"/>
  <c r="E1393" i="1"/>
  <c r="A1394" i="1"/>
  <c r="B1394" i="1"/>
  <c r="C1394" i="1"/>
  <c r="D1394" i="1"/>
  <c r="E1394" i="1"/>
  <c r="A1395" i="1"/>
  <c r="B1395" i="1"/>
  <c r="C1395" i="1"/>
  <c r="D1395" i="1"/>
  <c r="E1395" i="1"/>
  <c r="A1396" i="1"/>
  <c r="B1396" i="1"/>
  <c r="C1396" i="1"/>
  <c r="D1396" i="1"/>
  <c r="E1396" i="1"/>
  <c r="A1397" i="1"/>
  <c r="B1397" i="1"/>
  <c r="C1397" i="1"/>
  <c r="D1397" i="1"/>
  <c r="E1397" i="1"/>
  <c r="A1398" i="1"/>
  <c r="B1398" i="1"/>
  <c r="C1398" i="1"/>
  <c r="D1398" i="1"/>
  <c r="E1398" i="1"/>
  <c r="A1399" i="1"/>
  <c r="B1399" i="1"/>
  <c r="C1399" i="1"/>
  <c r="D1399" i="1"/>
  <c r="E1399" i="1"/>
  <c r="A1400" i="1"/>
  <c r="B1400" i="1"/>
  <c r="C1400" i="1"/>
  <c r="D1400" i="1"/>
  <c r="E1400" i="1"/>
  <c r="A1401" i="1"/>
  <c r="B1401" i="1"/>
  <c r="C1401" i="1"/>
  <c r="D1401" i="1"/>
  <c r="E1401" i="1"/>
  <c r="A1402" i="1"/>
  <c r="B1402" i="1"/>
  <c r="C1402" i="1"/>
  <c r="D1402" i="1"/>
  <c r="E1402" i="1"/>
  <c r="A1403" i="1"/>
  <c r="B1403" i="1"/>
  <c r="C1403" i="1"/>
  <c r="D1403" i="1"/>
  <c r="E1403" i="1"/>
  <c r="A1404" i="1"/>
  <c r="B1404" i="1"/>
  <c r="C1404" i="1"/>
  <c r="D1404" i="1"/>
  <c r="E1404" i="1"/>
  <c r="A1405" i="1"/>
  <c r="B1405" i="1"/>
  <c r="C1405" i="1"/>
  <c r="D1405" i="1"/>
  <c r="E1405" i="1"/>
  <c r="A1406" i="1"/>
  <c r="B1406" i="1"/>
  <c r="C1406" i="1"/>
  <c r="D1406" i="1"/>
  <c r="E1406" i="1"/>
  <c r="A1407" i="1"/>
  <c r="B1407" i="1"/>
  <c r="C1407" i="1"/>
  <c r="D1407" i="1"/>
  <c r="E1407" i="1"/>
  <c r="A1408" i="1"/>
  <c r="B1408" i="1"/>
  <c r="C1408" i="1"/>
  <c r="D1408" i="1"/>
  <c r="E1408" i="1"/>
  <c r="A1409" i="1"/>
  <c r="B1409" i="1"/>
  <c r="C1409" i="1"/>
  <c r="D1409" i="1"/>
  <c r="E1409" i="1"/>
  <c r="A1410" i="1"/>
  <c r="B1410" i="1"/>
  <c r="C1410" i="1"/>
  <c r="D1410" i="1"/>
  <c r="E1410" i="1"/>
  <c r="A1411" i="1"/>
  <c r="B1411" i="1"/>
  <c r="C1411" i="1"/>
  <c r="D1411" i="1"/>
  <c r="E1411" i="1"/>
  <c r="A1412" i="1"/>
  <c r="B1412" i="1"/>
  <c r="C1412" i="1"/>
  <c r="D1412" i="1"/>
  <c r="E1412" i="1"/>
  <c r="A1413" i="1"/>
  <c r="B1413" i="1"/>
  <c r="C1413" i="1"/>
  <c r="D1413" i="1"/>
  <c r="E1413" i="1"/>
  <c r="A1414" i="1"/>
  <c r="B1414" i="1"/>
  <c r="C1414" i="1"/>
  <c r="D1414" i="1"/>
  <c r="E1414" i="1"/>
  <c r="A1415" i="1"/>
  <c r="B1415" i="1"/>
  <c r="C1415" i="1"/>
  <c r="D1415" i="1"/>
  <c r="E1415" i="1"/>
</calcChain>
</file>

<file path=xl/sharedStrings.xml><?xml version="1.0" encoding="utf-8"?>
<sst xmlns="http://schemas.openxmlformats.org/spreadsheetml/2006/main" count="2868" uniqueCount="31">
  <si>
    <t>2025 Lincoln County Coordinated Election</t>
  </si>
  <si>
    <t>5.17.17.1</t>
  </si>
  <si>
    <t>Crowley County School District RE 1-J Board of Directors - 4 Year Term (Vote For=4)</t>
  </si>
  <si>
    <t>Miami Yoder School District JT60 Board of Directors - 4 Year Term (Vote For=3)</t>
  </si>
  <si>
    <t>Proposition LL (STATUTORY) (Vote For=1)</t>
  </si>
  <si>
    <t>Proposition MM (STATUTORY) (Vote For=1)</t>
  </si>
  <si>
    <t>LINCOLN COUNTY BALLOT ISSUE 1A: LODGING TAX (Vote For=1)</t>
  </si>
  <si>
    <t>CROWLEY COUNTY SCHOOL DISTRICT RE 1-J BALLOT ISSUE 5A :  BONDS (Vote For=1)</t>
  </si>
  <si>
    <t>MIAMI-YODER JOINT SCHOOL DISTRICT NO. 60 BALLOT ISSUE 5B: (Vote For=1)</t>
  </si>
  <si>
    <t>Jordan King</t>
  </si>
  <si>
    <t>James C. Watkins</t>
  </si>
  <si>
    <t>Martin M. Martinez, Jr</t>
  </si>
  <si>
    <t>Kaci L. Mason</t>
  </si>
  <si>
    <t>Daniel Carneal</t>
  </si>
  <si>
    <t>Samantha L. Berg</t>
  </si>
  <si>
    <t>Ronny Burr</t>
  </si>
  <si>
    <t>Jon Hogeboom</t>
  </si>
  <si>
    <t>Yes/For</t>
  </si>
  <si>
    <t>No/Against</t>
  </si>
  <si>
    <t>CvrNumber</t>
  </si>
  <si>
    <t>TabulatorNum</t>
  </si>
  <si>
    <t>BatchId</t>
  </si>
  <si>
    <t>RecordId</t>
  </si>
  <si>
    <t>ImprintedId</t>
  </si>
  <si>
    <t>CountingGroup</t>
  </si>
  <si>
    <t>PrecinctPortion</t>
  </si>
  <si>
    <t>BallotType</t>
  </si>
  <si>
    <t>Regular</t>
  </si>
  <si>
    <t>1 (1)</t>
  </si>
  <si>
    <t>3 (3)</t>
  </si>
  <si>
    <t>2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</si>
</sst>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9D54-B33F-445B-B9A9-81ED519A67AF}">
  <dimension ref="A1:Z1415"/>
  <sheetViews>
    <sheetView tabSelected="1" workbookViewId="0"/>
  </sheetViews>
  <sheetFormatPr defaultRowHeight="15" x14ac:dyDescent="0.25"/>
  <sheetData>
    <row r="1" spans="1:26" x14ac:dyDescent="0.25">
      <c r="A1" t="s">
        <v>0</v>
      </c>
      <c r="B1" t="s">
        <v>1</v>
      </c>
    </row>
    <row r="2" spans="1:26" x14ac:dyDescent="0.25">
      <c r="I2" t="s">
        <v>2</v>
      </c>
      <c r="J2" t="s">
        <v>2</v>
      </c>
      <c r="K2" t="s">
        <v>2</v>
      </c>
      <c r="L2" t="s">
        <v>2</v>
      </c>
      <c r="M2" t="s">
        <v>3</v>
      </c>
      <c r="N2" t="s">
        <v>3</v>
      </c>
      <c r="O2" t="s">
        <v>3</v>
      </c>
      <c r="P2" t="s">
        <v>3</v>
      </c>
      <c r="Q2" t="s">
        <v>4</v>
      </c>
      <c r="R2" t="s">
        <v>4</v>
      </c>
      <c r="S2" t="s">
        <v>5</v>
      </c>
      <c r="T2" t="s">
        <v>5</v>
      </c>
      <c r="U2" t="s">
        <v>6</v>
      </c>
      <c r="V2" t="s">
        <v>6</v>
      </c>
      <c r="W2" t="s">
        <v>7</v>
      </c>
      <c r="X2" t="s">
        <v>7</v>
      </c>
      <c r="Y2" t="s">
        <v>8</v>
      </c>
      <c r="Z2" t="s">
        <v>8</v>
      </c>
    </row>
    <row r="3" spans="1:26" x14ac:dyDescent="0.25"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17</v>
      </c>
      <c r="T3" t="s">
        <v>18</v>
      </c>
      <c r="U3" t="s">
        <v>17</v>
      </c>
      <c r="V3" t="s">
        <v>18</v>
      </c>
      <c r="W3" t="s">
        <v>17</v>
      </c>
      <c r="X3" t="s">
        <v>18</v>
      </c>
      <c r="Y3" t="s">
        <v>17</v>
      </c>
      <c r="Z3" t="s">
        <v>18</v>
      </c>
    </row>
    <row r="4" spans="1:26" x14ac:dyDescent="0.25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</row>
    <row r="5" spans="1:26" x14ac:dyDescent="0.25">
      <c r="A5" t="str">
        <f>"1"</f>
        <v>1</v>
      </c>
      <c r="B5" t="str">
        <f t="shared" ref="B5:B68" si="0">"102"</f>
        <v>102</v>
      </c>
      <c r="C5" t="str">
        <f t="shared" ref="C5:C29" si="1">"1"</f>
        <v>1</v>
      </c>
      <c r="D5" t="str">
        <f>"20"</f>
        <v>20</v>
      </c>
      <c r="E5" t="str">
        <f>"102-1-20"</f>
        <v>102-1-20</v>
      </c>
      <c r="F5" t="s">
        <v>27</v>
      </c>
      <c r="G5" t="s">
        <v>28</v>
      </c>
      <c r="H5">
        <v>1</v>
      </c>
      <c r="Q5">
        <v>1</v>
      </c>
      <c r="R5">
        <v>0</v>
      </c>
      <c r="S5">
        <v>1</v>
      </c>
      <c r="T5">
        <v>0</v>
      </c>
      <c r="U5">
        <v>1</v>
      </c>
      <c r="V5">
        <v>0</v>
      </c>
    </row>
    <row r="6" spans="1:26" x14ac:dyDescent="0.25">
      <c r="A6" t="str">
        <f>"2"</f>
        <v>2</v>
      </c>
      <c r="B6" t="str">
        <f t="shared" si="0"/>
        <v>102</v>
      </c>
      <c r="C6" t="str">
        <f t="shared" si="1"/>
        <v>1</v>
      </c>
      <c r="D6" t="str">
        <f>"11"</f>
        <v>11</v>
      </c>
      <c r="E6" t="str">
        <f>"102-1-11"</f>
        <v>102-1-11</v>
      </c>
      <c r="F6" t="s">
        <v>27</v>
      </c>
      <c r="G6" t="s">
        <v>28</v>
      </c>
      <c r="H6">
        <v>1</v>
      </c>
      <c r="Q6">
        <v>0</v>
      </c>
      <c r="R6">
        <v>1</v>
      </c>
      <c r="S6">
        <v>0</v>
      </c>
      <c r="T6">
        <v>1</v>
      </c>
      <c r="U6">
        <v>0</v>
      </c>
      <c r="V6">
        <v>1</v>
      </c>
    </row>
    <row r="7" spans="1:26" x14ac:dyDescent="0.25">
      <c r="A7" t="str">
        <f>"3"</f>
        <v>3</v>
      </c>
      <c r="B7" t="str">
        <f t="shared" si="0"/>
        <v>102</v>
      </c>
      <c r="C7" t="str">
        <f t="shared" si="1"/>
        <v>1</v>
      </c>
      <c r="D7" t="str">
        <f>"4"</f>
        <v>4</v>
      </c>
      <c r="E7" t="str">
        <f>"102-1-4"</f>
        <v>102-1-4</v>
      </c>
      <c r="F7" t="s">
        <v>27</v>
      </c>
      <c r="G7" t="s">
        <v>28</v>
      </c>
      <c r="H7">
        <v>1</v>
      </c>
      <c r="Q7">
        <v>0</v>
      </c>
      <c r="R7">
        <v>1</v>
      </c>
      <c r="S7">
        <v>0</v>
      </c>
      <c r="T7">
        <v>1</v>
      </c>
      <c r="U7">
        <v>0</v>
      </c>
      <c r="V7">
        <v>1</v>
      </c>
    </row>
    <row r="8" spans="1:26" x14ac:dyDescent="0.25">
      <c r="A8" t="str">
        <f>"4"</f>
        <v>4</v>
      </c>
      <c r="B8" t="str">
        <f t="shared" si="0"/>
        <v>102</v>
      </c>
      <c r="C8" t="str">
        <f t="shared" si="1"/>
        <v>1</v>
      </c>
      <c r="D8" t="str">
        <f>"19"</f>
        <v>19</v>
      </c>
      <c r="E8" t="str">
        <f>"102-1-19"</f>
        <v>102-1-19</v>
      </c>
      <c r="F8" t="s">
        <v>27</v>
      </c>
      <c r="G8" t="s">
        <v>28</v>
      </c>
      <c r="H8">
        <v>1</v>
      </c>
      <c r="Q8">
        <v>1</v>
      </c>
      <c r="R8">
        <v>0</v>
      </c>
      <c r="S8">
        <v>1</v>
      </c>
      <c r="T8">
        <v>0</v>
      </c>
      <c r="U8">
        <v>0</v>
      </c>
      <c r="V8">
        <v>1</v>
      </c>
    </row>
    <row r="9" spans="1:26" x14ac:dyDescent="0.25">
      <c r="A9" t="str">
        <f>"5"</f>
        <v>5</v>
      </c>
      <c r="B9" t="str">
        <f t="shared" si="0"/>
        <v>102</v>
      </c>
      <c r="C9" t="str">
        <f t="shared" si="1"/>
        <v>1</v>
      </c>
      <c r="D9" t="str">
        <f>"13"</f>
        <v>13</v>
      </c>
      <c r="E9" t="str">
        <f>"102-1-13"</f>
        <v>102-1-13</v>
      </c>
      <c r="F9" t="s">
        <v>27</v>
      </c>
      <c r="G9" t="s">
        <v>28</v>
      </c>
      <c r="H9">
        <v>1</v>
      </c>
      <c r="Q9">
        <v>0</v>
      </c>
      <c r="R9">
        <v>1</v>
      </c>
      <c r="S9">
        <v>0</v>
      </c>
      <c r="T9">
        <v>1</v>
      </c>
      <c r="U9">
        <v>1</v>
      </c>
      <c r="V9">
        <v>0</v>
      </c>
    </row>
    <row r="10" spans="1:26" x14ac:dyDescent="0.25">
      <c r="A10" t="str">
        <f>"6"</f>
        <v>6</v>
      </c>
      <c r="B10" t="str">
        <f t="shared" si="0"/>
        <v>102</v>
      </c>
      <c r="C10" t="str">
        <f t="shared" si="1"/>
        <v>1</v>
      </c>
      <c r="D10" t="str">
        <f>"6"</f>
        <v>6</v>
      </c>
      <c r="E10" t="str">
        <f>"102-1-6"</f>
        <v>102-1-6</v>
      </c>
      <c r="F10" t="s">
        <v>27</v>
      </c>
      <c r="G10" t="s">
        <v>28</v>
      </c>
      <c r="H10">
        <v>1</v>
      </c>
      <c r="Q10">
        <v>0</v>
      </c>
      <c r="R10">
        <v>1</v>
      </c>
      <c r="S10">
        <v>0</v>
      </c>
      <c r="T10">
        <v>1</v>
      </c>
      <c r="U10">
        <v>0</v>
      </c>
      <c r="V10">
        <v>1</v>
      </c>
    </row>
    <row r="11" spans="1:26" x14ac:dyDescent="0.25">
      <c r="A11" t="str">
        <f>"7"</f>
        <v>7</v>
      </c>
      <c r="B11" t="str">
        <f t="shared" si="0"/>
        <v>102</v>
      </c>
      <c r="C11" t="str">
        <f t="shared" si="1"/>
        <v>1</v>
      </c>
      <c r="D11" t="str">
        <f>"23"</f>
        <v>23</v>
      </c>
      <c r="E11" t="str">
        <f>"102-1-23"</f>
        <v>102-1-23</v>
      </c>
      <c r="F11" t="s">
        <v>27</v>
      </c>
      <c r="G11" t="s">
        <v>28</v>
      </c>
      <c r="H11">
        <v>1</v>
      </c>
      <c r="Q11">
        <v>0</v>
      </c>
      <c r="R11">
        <v>1</v>
      </c>
      <c r="S11">
        <v>1</v>
      </c>
      <c r="T11">
        <v>0</v>
      </c>
      <c r="U11">
        <v>1</v>
      </c>
      <c r="V11">
        <v>0</v>
      </c>
    </row>
    <row r="12" spans="1:26" x14ac:dyDescent="0.25">
      <c r="A12" t="str">
        <f>"8"</f>
        <v>8</v>
      </c>
      <c r="B12" t="str">
        <f t="shared" si="0"/>
        <v>102</v>
      </c>
      <c r="C12" t="str">
        <f t="shared" si="1"/>
        <v>1</v>
      </c>
      <c r="D12" t="str">
        <f>"12"</f>
        <v>12</v>
      </c>
      <c r="E12" t="str">
        <f>"102-1-12"</f>
        <v>102-1-12</v>
      </c>
      <c r="F12" t="s">
        <v>27</v>
      </c>
      <c r="G12" t="s">
        <v>28</v>
      </c>
      <c r="H12">
        <v>1</v>
      </c>
      <c r="Q12">
        <v>1</v>
      </c>
      <c r="R12">
        <v>0</v>
      </c>
      <c r="S12">
        <v>1</v>
      </c>
      <c r="T12">
        <v>0</v>
      </c>
      <c r="U12">
        <v>1</v>
      </c>
      <c r="V12">
        <v>0</v>
      </c>
    </row>
    <row r="13" spans="1:26" x14ac:dyDescent="0.25">
      <c r="A13" t="str">
        <f>"9"</f>
        <v>9</v>
      </c>
      <c r="B13" t="str">
        <f t="shared" si="0"/>
        <v>102</v>
      </c>
      <c r="C13" t="str">
        <f t="shared" si="1"/>
        <v>1</v>
      </c>
      <c r="D13" t="str">
        <f>"1"</f>
        <v>1</v>
      </c>
      <c r="E13" t="str">
        <f>"102-1-1"</f>
        <v>102-1-1</v>
      </c>
      <c r="F13" t="s">
        <v>27</v>
      </c>
      <c r="G13" t="s">
        <v>28</v>
      </c>
      <c r="H13">
        <v>1</v>
      </c>
      <c r="Q13">
        <v>0</v>
      </c>
      <c r="R13">
        <v>1</v>
      </c>
      <c r="S13">
        <v>0</v>
      </c>
      <c r="T13">
        <v>1</v>
      </c>
      <c r="U13">
        <v>1</v>
      </c>
      <c r="V13">
        <v>0</v>
      </c>
    </row>
    <row r="14" spans="1:26" x14ac:dyDescent="0.25">
      <c r="A14" t="str">
        <f>"10"</f>
        <v>10</v>
      </c>
      <c r="B14" t="str">
        <f t="shared" si="0"/>
        <v>102</v>
      </c>
      <c r="C14" t="str">
        <f t="shared" si="1"/>
        <v>1</v>
      </c>
      <c r="D14" t="str">
        <f>"25"</f>
        <v>25</v>
      </c>
      <c r="E14" t="str">
        <f>"102-1-25"</f>
        <v>102-1-25</v>
      </c>
      <c r="F14" t="s">
        <v>27</v>
      </c>
      <c r="G14" t="s">
        <v>28</v>
      </c>
      <c r="H14">
        <v>1</v>
      </c>
      <c r="Q14">
        <v>0</v>
      </c>
      <c r="R14">
        <v>1</v>
      </c>
      <c r="S14">
        <v>0</v>
      </c>
      <c r="T14">
        <v>1</v>
      </c>
      <c r="U14">
        <v>0</v>
      </c>
      <c r="V14">
        <v>1</v>
      </c>
    </row>
    <row r="15" spans="1:26" x14ac:dyDescent="0.25">
      <c r="A15" t="str">
        <f>"11"</f>
        <v>11</v>
      </c>
      <c r="B15" t="str">
        <f t="shared" si="0"/>
        <v>102</v>
      </c>
      <c r="C15" t="str">
        <f t="shared" si="1"/>
        <v>1</v>
      </c>
      <c r="D15" t="str">
        <f>"14"</f>
        <v>14</v>
      </c>
      <c r="E15" t="str">
        <f>"102-1-14"</f>
        <v>102-1-14</v>
      </c>
      <c r="F15" t="s">
        <v>27</v>
      </c>
      <c r="G15" t="s">
        <v>28</v>
      </c>
      <c r="H15">
        <v>1</v>
      </c>
      <c r="Q15">
        <v>0</v>
      </c>
      <c r="R15">
        <v>1</v>
      </c>
      <c r="S15">
        <v>0</v>
      </c>
      <c r="T15">
        <v>1</v>
      </c>
      <c r="U15">
        <v>1</v>
      </c>
      <c r="V15">
        <v>0</v>
      </c>
    </row>
    <row r="16" spans="1:26" x14ac:dyDescent="0.25">
      <c r="A16" t="str">
        <f>"12"</f>
        <v>12</v>
      </c>
      <c r="B16" t="str">
        <f t="shared" si="0"/>
        <v>102</v>
      </c>
      <c r="C16" t="str">
        <f t="shared" si="1"/>
        <v>1</v>
      </c>
      <c r="D16" t="str">
        <f>"7"</f>
        <v>7</v>
      </c>
      <c r="E16" t="str">
        <f>"102-1-7"</f>
        <v>102-1-7</v>
      </c>
      <c r="F16" t="s">
        <v>27</v>
      </c>
      <c r="G16" t="s">
        <v>28</v>
      </c>
      <c r="H16">
        <v>1</v>
      </c>
      <c r="Q16">
        <v>1</v>
      </c>
      <c r="R16">
        <v>0</v>
      </c>
      <c r="S16">
        <v>0</v>
      </c>
      <c r="T16">
        <v>1</v>
      </c>
      <c r="U16">
        <v>1</v>
      </c>
      <c r="V16">
        <v>0</v>
      </c>
    </row>
    <row r="17" spans="1:22" x14ac:dyDescent="0.25">
      <c r="A17" t="str">
        <f>"13"</f>
        <v>13</v>
      </c>
      <c r="B17" t="str">
        <f t="shared" si="0"/>
        <v>102</v>
      </c>
      <c r="C17" t="str">
        <f t="shared" si="1"/>
        <v>1</v>
      </c>
      <c r="D17" t="str">
        <f>"21"</f>
        <v>21</v>
      </c>
      <c r="E17" t="str">
        <f>"102-1-21"</f>
        <v>102-1-21</v>
      </c>
      <c r="F17" t="s">
        <v>27</v>
      </c>
      <c r="G17" t="s">
        <v>28</v>
      </c>
      <c r="H17">
        <v>1</v>
      </c>
      <c r="Q17">
        <v>0</v>
      </c>
      <c r="R17">
        <v>1</v>
      </c>
      <c r="S17">
        <v>0</v>
      </c>
      <c r="T17">
        <v>1</v>
      </c>
      <c r="U17">
        <v>0</v>
      </c>
      <c r="V17">
        <v>1</v>
      </c>
    </row>
    <row r="18" spans="1:22" x14ac:dyDescent="0.25">
      <c r="A18" t="str">
        <f>"14"</f>
        <v>14</v>
      </c>
      <c r="B18" t="str">
        <f t="shared" si="0"/>
        <v>102</v>
      </c>
      <c r="C18" t="str">
        <f t="shared" si="1"/>
        <v>1</v>
      </c>
      <c r="D18" t="str">
        <f>"15"</f>
        <v>15</v>
      </c>
      <c r="E18" t="str">
        <f>"102-1-15"</f>
        <v>102-1-15</v>
      </c>
      <c r="F18" t="s">
        <v>27</v>
      </c>
      <c r="G18" t="s">
        <v>28</v>
      </c>
      <c r="H18">
        <v>1</v>
      </c>
      <c r="Q18">
        <v>0</v>
      </c>
      <c r="R18">
        <v>1</v>
      </c>
      <c r="S18">
        <v>0</v>
      </c>
      <c r="T18">
        <v>1</v>
      </c>
      <c r="U18">
        <v>1</v>
      </c>
      <c r="V18">
        <v>0</v>
      </c>
    </row>
    <row r="19" spans="1:22" x14ac:dyDescent="0.25">
      <c r="A19" t="str">
        <f>"15"</f>
        <v>15</v>
      </c>
      <c r="B19" t="str">
        <f t="shared" si="0"/>
        <v>102</v>
      </c>
      <c r="C19" t="str">
        <f t="shared" si="1"/>
        <v>1</v>
      </c>
      <c r="D19" t="str">
        <f>"3"</f>
        <v>3</v>
      </c>
      <c r="E19" t="str">
        <f>"102-1-3"</f>
        <v>102-1-3</v>
      </c>
      <c r="F19" t="s">
        <v>27</v>
      </c>
      <c r="G19" t="s">
        <v>28</v>
      </c>
      <c r="H19">
        <v>1</v>
      </c>
      <c r="Q19">
        <v>1</v>
      </c>
      <c r="R19">
        <v>0</v>
      </c>
      <c r="S19">
        <v>1</v>
      </c>
      <c r="T19">
        <v>0</v>
      </c>
      <c r="U19">
        <v>1</v>
      </c>
      <c r="V19">
        <v>0</v>
      </c>
    </row>
    <row r="20" spans="1:22" x14ac:dyDescent="0.25">
      <c r="A20" t="str">
        <f>"16"</f>
        <v>16</v>
      </c>
      <c r="B20" t="str">
        <f t="shared" si="0"/>
        <v>102</v>
      </c>
      <c r="C20" t="str">
        <f t="shared" si="1"/>
        <v>1</v>
      </c>
      <c r="D20" t="str">
        <f>"24"</f>
        <v>24</v>
      </c>
      <c r="E20" t="str">
        <f>"102-1-24"</f>
        <v>102-1-24</v>
      </c>
      <c r="F20" t="s">
        <v>27</v>
      </c>
      <c r="G20" t="s">
        <v>28</v>
      </c>
      <c r="H20">
        <v>1</v>
      </c>
      <c r="Q20">
        <v>1</v>
      </c>
      <c r="R20">
        <v>0</v>
      </c>
      <c r="S20">
        <v>0</v>
      </c>
      <c r="T20">
        <v>1</v>
      </c>
      <c r="U20">
        <v>0</v>
      </c>
      <c r="V20">
        <v>1</v>
      </c>
    </row>
    <row r="21" spans="1:22" x14ac:dyDescent="0.25">
      <c r="A21" t="str">
        <f>"17"</f>
        <v>17</v>
      </c>
      <c r="B21" t="str">
        <f t="shared" si="0"/>
        <v>102</v>
      </c>
      <c r="C21" t="str">
        <f t="shared" si="1"/>
        <v>1</v>
      </c>
      <c r="D21" t="str">
        <f>"16"</f>
        <v>16</v>
      </c>
      <c r="E21" t="str">
        <f>"102-1-16"</f>
        <v>102-1-16</v>
      </c>
      <c r="F21" t="s">
        <v>27</v>
      </c>
      <c r="G21" t="s">
        <v>28</v>
      </c>
      <c r="H21">
        <v>1</v>
      </c>
      <c r="Q21">
        <v>0</v>
      </c>
      <c r="R21">
        <v>1</v>
      </c>
      <c r="S21">
        <v>0</v>
      </c>
      <c r="T21">
        <v>1</v>
      </c>
      <c r="U21">
        <v>0</v>
      </c>
      <c r="V21">
        <v>1</v>
      </c>
    </row>
    <row r="22" spans="1:22" x14ac:dyDescent="0.25">
      <c r="A22" t="str">
        <f>"18"</f>
        <v>18</v>
      </c>
      <c r="B22" t="str">
        <f t="shared" si="0"/>
        <v>102</v>
      </c>
      <c r="C22" t="str">
        <f t="shared" si="1"/>
        <v>1</v>
      </c>
      <c r="D22" t="str">
        <f>"2"</f>
        <v>2</v>
      </c>
      <c r="E22" t="str">
        <f>"102-1-2"</f>
        <v>102-1-2</v>
      </c>
      <c r="F22" t="s">
        <v>27</v>
      </c>
      <c r="G22" t="s">
        <v>28</v>
      </c>
      <c r="H22">
        <v>1</v>
      </c>
      <c r="Q22">
        <v>1</v>
      </c>
      <c r="R22">
        <v>0</v>
      </c>
      <c r="S22">
        <v>1</v>
      </c>
      <c r="T22">
        <v>0</v>
      </c>
      <c r="U22">
        <v>1</v>
      </c>
      <c r="V22">
        <v>0</v>
      </c>
    </row>
    <row r="23" spans="1:22" x14ac:dyDescent="0.25">
      <c r="A23" t="str">
        <f>"19"</f>
        <v>19</v>
      </c>
      <c r="B23" t="str">
        <f t="shared" si="0"/>
        <v>102</v>
      </c>
      <c r="C23" t="str">
        <f t="shared" si="1"/>
        <v>1</v>
      </c>
      <c r="D23" t="str">
        <f>"22"</f>
        <v>22</v>
      </c>
      <c r="E23" t="str">
        <f>"102-1-22"</f>
        <v>102-1-22</v>
      </c>
      <c r="F23" t="s">
        <v>27</v>
      </c>
      <c r="G23" t="s">
        <v>28</v>
      </c>
      <c r="H23">
        <v>1</v>
      </c>
      <c r="Q23">
        <v>0</v>
      </c>
      <c r="R23">
        <v>1</v>
      </c>
      <c r="S23">
        <v>0</v>
      </c>
      <c r="T23">
        <v>1</v>
      </c>
      <c r="U23">
        <v>0</v>
      </c>
      <c r="V23">
        <v>1</v>
      </c>
    </row>
    <row r="24" spans="1:22" x14ac:dyDescent="0.25">
      <c r="A24" t="str">
        <f>"20"</f>
        <v>20</v>
      </c>
      <c r="B24" t="str">
        <f t="shared" si="0"/>
        <v>102</v>
      </c>
      <c r="C24" t="str">
        <f t="shared" si="1"/>
        <v>1</v>
      </c>
      <c r="D24" t="str">
        <f>"17"</f>
        <v>17</v>
      </c>
      <c r="E24" t="str">
        <f>"102-1-17"</f>
        <v>102-1-17</v>
      </c>
      <c r="F24" t="s">
        <v>27</v>
      </c>
      <c r="G24" t="s">
        <v>28</v>
      </c>
      <c r="H24">
        <v>1</v>
      </c>
      <c r="Q24">
        <v>0</v>
      </c>
      <c r="R24">
        <v>1</v>
      </c>
      <c r="S24">
        <v>0</v>
      </c>
      <c r="T24">
        <v>1</v>
      </c>
      <c r="U24">
        <v>0</v>
      </c>
      <c r="V24">
        <v>1</v>
      </c>
    </row>
    <row r="25" spans="1:22" x14ac:dyDescent="0.25">
      <c r="A25" t="str">
        <f>"21"</f>
        <v>21</v>
      </c>
      <c r="B25" t="str">
        <f t="shared" si="0"/>
        <v>102</v>
      </c>
      <c r="C25" t="str">
        <f t="shared" si="1"/>
        <v>1</v>
      </c>
      <c r="D25" t="str">
        <f>"8"</f>
        <v>8</v>
      </c>
      <c r="E25" t="str">
        <f>"102-1-8"</f>
        <v>102-1-8</v>
      </c>
      <c r="F25" t="s">
        <v>27</v>
      </c>
      <c r="G25" t="s">
        <v>28</v>
      </c>
      <c r="H25">
        <v>1</v>
      </c>
      <c r="Q25">
        <v>1</v>
      </c>
      <c r="R25">
        <v>0</v>
      </c>
      <c r="S25">
        <v>1</v>
      </c>
      <c r="T25">
        <v>0</v>
      </c>
      <c r="U25">
        <v>1</v>
      </c>
      <c r="V25">
        <v>0</v>
      </c>
    </row>
    <row r="26" spans="1:22" x14ac:dyDescent="0.25">
      <c r="A26" t="str">
        <f>"22"</f>
        <v>22</v>
      </c>
      <c r="B26" t="str">
        <f t="shared" si="0"/>
        <v>102</v>
      </c>
      <c r="C26" t="str">
        <f t="shared" si="1"/>
        <v>1</v>
      </c>
      <c r="D26" t="str">
        <f>"18"</f>
        <v>18</v>
      </c>
      <c r="E26" t="str">
        <f>"102-1-18"</f>
        <v>102-1-18</v>
      </c>
      <c r="F26" t="s">
        <v>27</v>
      </c>
      <c r="G26" t="s">
        <v>28</v>
      </c>
      <c r="H26">
        <v>1</v>
      </c>
      <c r="Q26">
        <v>0</v>
      </c>
      <c r="R26">
        <v>1</v>
      </c>
      <c r="S26">
        <v>0</v>
      </c>
      <c r="T26">
        <v>1</v>
      </c>
      <c r="U26">
        <v>1</v>
      </c>
      <c r="V26">
        <v>0</v>
      </c>
    </row>
    <row r="27" spans="1:22" x14ac:dyDescent="0.25">
      <c r="A27" t="str">
        <f>"23"</f>
        <v>23</v>
      </c>
      <c r="B27" t="str">
        <f t="shared" si="0"/>
        <v>102</v>
      </c>
      <c r="C27" t="str">
        <f t="shared" si="1"/>
        <v>1</v>
      </c>
      <c r="D27" t="str">
        <f>"5"</f>
        <v>5</v>
      </c>
      <c r="E27" t="str">
        <f>"102-1-5"</f>
        <v>102-1-5</v>
      </c>
      <c r="F27" t="s">
        <v>27</v>
      </c>
      <c r="G27" t="s">
        <v>28</v>
      </c>
      <c r="H27">
        <v>1</v>
      </c>
      <c r="Q27">
        <v>0</v>
      </c>
      <c r="R27">
        <v>1</v>
      </c>
      <c r="S27">
        <v>0</v>
      </c>
      <c r="T27">
        <v>1</v>
      </c>
      <c r="U27">
        <v>0</v>
      </c>
      <c r="V27">
        <v>1</v>
      </c>
    </row>
    <row r="28" spans="1:22" x14ac:dyDescent="0.25">
      <c r="A28" t="str">
        <f>"24"</f>
        <v>24</v>
      </c>
      <c r="B28" t="str">
        <f t="shared" si="0"/>
        <v>102</v>
      </c>
      <c r="C28" t="str">
        <f t="shared" si="1"/>
        <v>1</v>
      </c>
      <c r="D28" t="str">
        <f>"10"</f>
        <v>10</v>
      </c>
      <c r="E28" t="str">
        <f>"102-1-10"</f>
        <v>102-1-10</v>
      </c>
      <c r="F28" t="s">
        <v>27</v>
      </c>
      <c r="G28" t="s">
        <v>28</v>
      </c>
      <c r="H28">
        <v>1</v>
      </c>
      <c r="Q28">
        <v>0</v>
      </c>
      <c r="R28">
        <v>1</v>
      </c>
      <c r="S28">
        <v>0</v>
      </c>
      <c r="T28">
        <v>1</v>
      </c>
      <c r="U28">
        <v>0</v>
      </c>
      <c r="V28">
        <v>1</v>
      </c>
    </row>
    <row r="29" spans="1:22" x14ac:dyDescent="0.25">
      <c r="A29" t="str">
        <f>"25"</f>
        <v>25</v>
      </c>
      <c r="B29" t="str">
        <f t="shared" si="0"/>
        <v>102</v>
      </c>
      <c r="C29" t="str">
        <f t="shared" si="1"/>
        <v>1</v>
      </c>
      <c r="D29" t="str">
        <f>"9"</f>
        <v>9</v>
      </c>
      <c r="E29" t="str">
        <f>"102-1-9"</f>
        <v>102-1-9</v>
      </c>
      <c r="F29" t="s">
        <v>27</v>
      </c>
      <c r="G29" t="s">
        <v>28</v>
      </c>
      <c r="H29">
        <v>1</v>
      </c>
      <c r="Q29">
        <v>0</v>
      </c>
      <c r="R29">
        <v>1</v>
      </c>
      <c r="S29">
        <v>0</v>
      </c>
      <c r="T29">
        <v>1</v>
      </c>
      <c r="U29">
        <v>1</v>
      </c>
      <c r="V29">
        <v>0</v>
      </c>
    </row>
    <row r="30" spans="1:22" x14ac:dyDescent="0.25">
      <c r="A30" t="str">
        <f>"26"</f>
        <v>26</v>
      </c>
      <c r="B30" t="str">
        <f t="shared" si="0"/>
        <v>102</v>
      </c>
      <c r="C30" t="str">
        <f t="shared" ref="C30:C54" si="2">"2"</f>
        <v>2</v>
      </c>
      <c r="D30" t="str">
        <f>"21"</f>
        <v>21</v>
      </c>
      <c r="E30" t="str">
        <f>"102-2-21"</f>
        <v>102-2-21</v>
      </c>
      <c r="F30" t="s">
        <v>27</v>
      </c>
      <c r="G30" t="s">
        <v>28</v>
      </c>
      <c r="H30">
        <v>1</v>
      </c>
      <c r="Q30">
        <v>0</v>
      </c>
      <c r="R30">
        <v>1</v>
      </c>
      <c r="S30">
        <v>0</v>
      </c>
      <c r="T30">
        <v>1</v>
      </c>
      <c r="U30">
        <v>1</v>
      </c>
      <c r="V30">
        <v>0</v>
      </c>
    </row>
    <row r="31" spans="1:22" x14ac:dyDescent="0.25">
      <c r="A31" t="str">
        <f>"27"</f>
        <v>27</v>
      </c>
      <c r="B31" t="str">
        <f t="shared" si="0"/>
        <v>102</v>
      </c>
      <c r="C31" t="str">
        <f t="shared" si="2"/>
        <v>2</v>
      </c>
      <c r="D31" t="str">
        <f>"11"</f>
        <v>11</v>
      </c>
      <c r="E31" t="str">
        <f>"102-2-11"</f>
        <v>102-2-11</v>
      </c>
      <c r="F31" t="s">
        <v>27</v>
      </c>
      <c r="G31" t="s">
        <v>28</v>
      </c>
      <c r="H31">
        <v>1</v>
      </c>
      <c r="Q31">
        <v>1</v>
      </c>
      <c r="R31">
        <v>0</v>
      </c>
      <c r="S31">
        <v>1</v>
      </c>
      <c r="T31">
        <v>0</v>
      </c>
      <c r="U31">
        <v>0</v>
      </c>
      <c r="V31">
        <v>1</v>
      </c>
    </row>
    <row r="32" spans="1:22" x14ac:dyDescent="0.25">
      <c r="A32" t="str">
        <f>"28"</f>
        <v>28</v>
      </c>
      <c r="B32" t="str">
        <f t="shared" si="0"/>
        <v>102</v>
      </c>
      <c r="C32" t="str">
        <f t="shared" si="2"/>
        <v>2</v>
      </c>
      <c r="D32" t="str">
        <f>"10"</f>
        <v>10</v>
      </c>
      <c r="E32" t="str">
        <f>"102-2-10"</f>
        <v>102-2-10</v>
      </c>
      <c r="F32" t="s">
        <v>27</v>
      </c>
      <c r="G32" t="s">
        <v>28</v>
      </c>
      <c r="H32">
        <v>1</v>
      </c>
      <c r="Q32">
        <v>0</v>
      </c>
      <c r="R32">
        <v>1</v>
      </c>
      <c r="S32">
        <v>0</v>
      </c>
      <c r="T32">
        <v>1</v>
      </c>
      <c r="U32">
        <v>0</v>
      </c>
      <c r="V32">
        <v>1</v>
      </c>
    </row>
    <row r="33" spans="1:26" x14ac:dyDescent="0.25">
      <c r="A33" t="str">
        <f>"29"</f>
        <v>29</v>
      </c>
      <c r="B33" t="str">
        <f t="shared" si="0"/>
        <v>102</v>
      </c>
      <c r="C33" t="str">
        <f t="shared" si="2"/>
        <v>2</v>
      </c>
      <c r="D33" t="str">
        <f>"23"</f>
        <v>23</v>
      </c>
      <c r="E33" t="str">
        <f>"102-2-23"</f>
        <v>102-2-23</v>
      </c>
      <c r="F33" t="s">
        <v>27</v>
      </c>
      <c r="G33" t="s">
        <v>28</v>
      </c>
      <c r="H33">
        <v>1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</row>
    <row r="34" spans="1:26" x14ac:dyDescent="0.25">
      <c r="A34" t="str">
        <f>"30"</f>
        <v>30</v>
      </c>
      <c r="B34" t="str">
        <f t="shared" si="0"/>
        <v>102</v>
      </c>
      <c r="C34" t="str">
        <f t="shared" si="2"/>
        <v>2</v>
      </c>
      <c r="D34" t="str">
        <f>"12"</f>
        <v>12</v>
      </c>
      <c r="E34" t="str">
        <f>"102-2-12"</f>
        <v>102-2-12</v>
      </c>
      <c r="F34" t="s">
        <v>27</v>
      </c>
      <c r="G34" t="s">
        <v>28</v>
      </c>
      <c r="H34">
        <v>1</v>
      </c>
      <c r="Q34">
        <v>0</v>
      </c>
      <c r="R34">
        <v>1</v>
      </c>
      <c r="S34">
        <v>0</v>
      </c>
      <c r="T34">
        <v>0</v>
      </c>
      <c r="U34">
        <v>1</v>
      </c>
      <c r="V34">
        <v>0</v>
      </c>
    </row>
    <row r="35" spans="1:26" x14ac:dyDescent="0.25">
      <c r="A35" t="str">
        <f>"31"</f>
        <v>31</v>
      </c>
      <c r="B35" t="str">
        <f t="shared" si="0"/>
        <v>102</v>
      </c>
      <c r="C35" t="str">
        <f t="shared" si="2"/>
        <v>2</v>
      </c>
      <c r="D35" t="str">
        <f>"8"</f>
        <v>8</v>
      </c>
      <c r="E35" t="str">
        <f>"102-2-8"</f>
        <v>102-2-8</v>
      </c>
      <c r="F35" t="s">
        <v>27</v>
      </c>
      <c r="G35" t="s">
        <v>28</v>
      </c>
      <c r="H35">
        <v>1</v>
      </c>
      <c r="Q35">
        <v>1</v>
      </c>
      <c r="R35">
        <v>0</v>
      </c>
      <c r="S35">
        <v>0</v>
      </c>
      <c r="T35">
        <v>0</v>
      </c>
      <c r="U35">
        <v>1</v>
      </c>
      <c r="V35">
        <v>0</v>
      </c>
    </row>
    <row r="36" spans="1:26" x14ac:dyDescent="0.25">
      <c r="A36" t="str">
        <f>"32"</f>
        <v>32</v>
      </c>
      <c r="B36" t="str">
        <f t="shared" si="0"/>
        <v>102</v>
      </c>
      <c r="C36" t="str">
        <f t="shared" si="2"/>
        <v>2</v>
      </c>
      <c r="D36" t="str">
        <f>"24"</f>
        <v>24</v>
      </c>
      <c r="E36" t="str">
        <f>"102-2-24"</f>
        <v>102-2-24</v>
      </c>
      <c r="F36" t="s">
        <v>27</v>
      </c>
      <c r="G36" t="s">
        <v>28</v>
      </c>
      <c r="H36">
        <v>1</v>
      </c>
      <c r="Q36">
        <v>0</v>
      </c>
      <c r="R36">
        <v>1</v>
      </c>
      <c r="S36">
        <v>1</v>
      </c>
      <c r="T36">
        <v>0</v>
      </c>
      <c r="U36">
        <v>1</v>
      </c>
      <c r="V36">
        <v>0</v>
      </c>
    </row>
    <row r="37" spans="1:26" x14ac:dyDescent="0.25">
      <c r="A37" t="str">
        <f>"33"</f>
        <v>33</v>
      </c>
      <c r="B37" t="str">
        <f t="shared" si="0"/>
        <v>102</v>
      </c>
      <c r="C37" t="str">
        <f t="shared" si="2"/>
        <v>2</v>
      </c>
      <c r="D37" t="str">
        <f>"13"</f>
        <v>13</v>
      </c>
      <c r="E37" t="str">
        <f>"102-2-13"</f>
        <v>102-2-13</v>
      </c>
      <c r="F37" t="s">
        <v>27</v>
      </c>
      <c r="G37" t="s">
        <v>28</v>
      </c>
      <c r="H37">
        <v>1</v>
      </c>
      <c r="Q37">
        <v>0</v>
      </c>
      <c r="R37">
        <v>1</v>
      </c>
      <c r="S37">
        <v>0</v>
      </c>
      <c r="T37">
        <v>1</v>
      </c>
      <c r="U37">
        <v>0</v>
      </c>
      <c r="V37">
        <v>1</v>
      </c>
    </row>
    <row r="38" spans="1:26" x14ac:dyDescent="0.25">
      <c r="A38" t="str">
        <f>"34"</f>
        <v>34</v>
      </c>
      <c r="B38" t="str">
        <f t="shared" si="0"/>
        <v>102</v>
      </c>
      <c r="C38" t="str">
        <f t="shared" si="2"/>
        <v>2</v>
      </c>
      <c r="D38" t="str">
        <f>"3"</f>
        <v>3</v>
      </c>
      <c r="E38" t="str">
        <f>"102-2-3"</f>
        <v>102-2-3</v>
      </c>
      <c r="F38" t="s">
        <v>27</v>
      </c>
      <c r="G38" t="s">
        <v>28</v>
      </c>
      <c r="H38">
        <v>1</v>
      </c>
      <c r="Q38">
        <v>0</v>
      </c>
      <c r="R38">
        <v>1</v>
      </c>
      <c r="S38">
        <v>0</v>
      </c>
      <c r="T38">
        <v>1</v>
      </c>
      <c r="U38">
        <v>0</v>
      </c>
      <c r="V38">
        <v>1</v>
      </c>
    </row>
    <row r="39" spans="1:26" x14ac:dyDescent="0.25">
      <c r="A39" t="str">
        <f>"35"</f>
        <v>35</v>
      </c>
      <c r="B39" t="str">
        <f t="shared" si="0"/>
        <v>102</v>
      </c>
      <c r="C39" t="str">
        <f t="shared" si="2"/>
        <v>2</v>
      </c>
      <c r="D39" t="str">
        <f>"25"</f>
        <v>25</v>
      </c>
      <c r="E39" t="str">
        <f>"102-2-25"</f>
        <v>102-2-25</v>
      </c>
      <c r="F39" t="s">
        <v>27</v>
      </c>
      <c r="G39" t="s">
        <v>28</v>
      </c>
      <c r="H39">
        <v>1</v>
      </c>
      <c r="Q39">
        <v>0</v>
      </c>
      <c r="R39">
        <v>1</v>
      </c>
      <c r="S39">
        <v>0</v>
      </c>
      <c r="T39">
        <v>1</v>
      </c>
      <c r="U39">
        <v>0</v>
      </c>
      <c r="V39">
        <v>1</v>
      </c>
    </row>
    <row r="40" spans="1:26" x14ac:dyDescent="0.25">
      <c r="A40" t="str">
        <f>"36"</f>
        <v>36</v>
      </c>
      <c r="B40" t="str">
        <f t="shared" si="0"/>
        <v>102</v>
      </c>
      <c r="C40" t="str">
        <f t="shared" si="2"/>
        <v>2</v>
      </c>
      <c r="D40" t="str">
        <f>"14"</f>
        <v>14</v>
      </c>
      <c r="E40" t="str">
        <f>"102-2-14"</f>
        <v>102-2-14</v>
      </c>
      <c r="F40" t="s">
        <v>27</v>
      </c>
      <c r="G40" t="s">
        <v>28</v>
      </c>
      <c r="H40">
        <v>1</v>
      </c>
      <c r="Q40">
        <v>1</v>
      </c>
      <c r="R40">
        <v>0</v>
      </c>
      <c r="S40">
        <v>1</v>
      </c>
      <c r="T40">
        <v>0</v>
      </c>
      <c r="U40">
        <v>1</v>
      </c>
      <c r="V40">
        <v>0</v>
      </c>
    </row>
    <row r="41" spans="1:26" x14ac:dyDescent="0.25">
      <c r="A41" t="str">
        <f>"37"</f>
        <v>37</v>
      </c>
      <c r="B41" t="str">
        <f t="shared" si="0"/>
        <v>102</v>
      </c>
      <c r="C41" t="str">
        <f t="shared" si="2"/>
        <v>2</v>
      </c>
      <c r="D41" t="str">
        <f>"4"</f>
        <v>4</v>
      </c>
      <c r="E41" t="str">
        <f>"102-2-4"</f>
        <v>102-2-4</v>
      </c>
      <c r="F41" t="s">
        <v>27</v>
      </c>
      <c r="G41" t="s">
        <v>28</v>
      </c>
      <c r="H41">
        <v>1</v>
      </c>
      <c r="Q41">
        <v>0</v>
      </c>
      <c r="R41">
        <v>1</v>
      </c>
      <c r="S41">
        <v>0</v>
      </c>
      <c r="T41">
        <v>1</v>
      </c>
      <c r="U41">
        <v>0</v>
      </c>
      <c r="V41">
        <v>1</v>
      </c>
    </row>
    <row r="42" spans="1:26" x14ac:dyDescent="0.25">
      <c r="A42" t="str">
        <f>"38"</f>
        <v>38</v>
      </c>
      <c r="B42" t="str">
        <f t="shared" si="0"/>
        <v>102</v>
      </c>
      <c r="C42" t="str">
        <f t="shared" si="2"/>
        <v>2</v>
      </c>
      <c r="D42" t="str">
        <f>"22"</f>
        <v>22</v>
      </c>
      <c r="E42" t="str">
        <f>"102-2-22"</f>
        <v>102-2-22</v>
      </c>
      <c r="F42" t="s">
        <v>27</v>
      </c>
      <c r="G42" t="s">
        <v>28</v>
      </c>
      <c r="H42">
        <v>1</v>
      </c>
      <c r="Q42">
        <v>0</v>
      </c>
      <c r="R42">
        <v>1</v>
      </c>
      <c r="S42">
        <v>0</v>
      </c>
      <c r="T42">
        <v>1</v>
      </c>
      <c r="U42">
        <v>0</v>
      </c>
      <c r="V42">
        <v>1</v>
      </c>
    </row>
    <row r="43" spans="1:26" x14ac:dyDescent="0.25">
      <c r="A43" t="str">
        <f>"39"</f>
        <v>39</v>
      </c>
      <c r="B43" t="str">
        <f t="shared" si="0"/>
        <v>102</v>
      </c>
      <c r="C43" t="str">
        <f t="shared" si="2"/>
        <v>2</v>
      </c>
      <c r="D43" t="str">
        <f>"15"</f>
        <v>15</v>
      </c>
      <c r="E43" t="str">
        <f>"102-2-15"</f>
        <v>102-2-15</v>
      </c>
      <c r="F43" t="s">
        <v>27</v>
      </c>
      <c r="G43" t="s">
        <v>28</v>
      </c>
      <c r="H43">
        <v>1</v>
      </c>
      <c r="Q43">
        <v>0</v>
      </c>
      <c r="R43">
        <v>1</v>
      </c>
      <c r="S43">
        <v>0</v>
      </c>
      <c r="T43">
        <v>1</v>
      </c>
      <c r="U43">
        <v>0</v>
      </c>
      <c r="V43">
        <v>1</v>
      </c>
    </row>
    <row r="44" spans="1:26" x14ac:dyDescent="0.25">
      <c r="A44" t="str">
        <f>"40"</f>
        <v>40</v>
      </c>
      <c r="B44" t="str">
        <f t="shared" si="0"/>
        <v>102</v>
      </c>
      <c r="C44" t="str">
        <f t="shared" si="2"/>
        <v>2</v>
      </c>
      <c r="D44" t="str">
        <f>"2"</f>
        <v>2</v>
      </c>
      <c r="E44" t="str">
        <f>"102-2-2"</f>
        <v>102-2-2</v>
      </c>
      <c r="F44" t="s">
        <v>27</v>
      </c>
      <c r="G44" t="s">
        <v>28</v>
      </c>
      <c r="H44">
        <v>1</v>
      </c>
      <c r="Q44">
        <v>0</v>
      </c>
      <c r="R44">
        <v>1</v>
      </c>
      <c r="S44">
        <v>0</v>
      </c>
      <c r="T44">
        <v>1</v>
      </c>
      <c r="U44">
        <v>0</v>
      </c>
      <c r="V44">
        <v>1</v>
      </c>
    </row>
    <row r="45" spans="1:26" x14ac:dyDescent="0.25">
      <c r="A45" t="str">
        <f>"41"</f>
        <v>41</v>
      </c>
      <c r="B45" t="str">
        <f t="shared" si="0"/>
        <v>102</v>
      </c>
      <c r="C45" t="str">
        <f t="shared" si="2"/>
        <v>2</v>
      </c>
      <c r="D45" t="str">
        <f>"16"</f>
        <v>16</v>
      </c>
      <c r="E45" t="str">
        <f>"102-2-16"</f>
        <v>102-2-16</v>
      </c>
      <c r="F45" t="s">
        <v>27</v>
      </c>
      <c r="G45" t="s">
        <v>28</v>
      </c>
      <c r="H45">
        <v>1</v>
      </c>
      <c r="Q45">
        <v>1</v>
      </c>
      <c r="R45">
        <v>0</v>
      </c>
      <c r="S45">
        <v>1</v>
      </c>
      <c r="T45">
        <v>0</v>
      </c>
      <c r="U45">
        <v>1</v>
      </c>
      <c r="V45">
        <v>0</v>
      </c>
    </row>
    <row r="46" spans="1:26" x14ac:dyDescent="0.25">
      <c r="A46" t="str">
        <f>"42"</f>
        <v>42</v>
      </c>
      <c r="B46" t="str">
        <f t="shared" si="0"/>
        <v>102</v>
      </c>
      <c r="C46" t="str">
        <f t="shared" si="2"/>
        <v>2</v>
      </c>
      <c r="D46" t="str">
        <f>"7"</f>
        <v>7</v>
      </c>
      <c r="E46" t="str">
        <f>"102-2-7"</f>
        <v>102-2-7</v>
      </c>
      <c r="F46" t="s">
        <v>27</v>
      </c>
      <c r="G46" t="s">
        <v>28</v>
      </c>
      <c r="H46">
        <v>1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</row>
    <row r="47" spans="1:26" x14ac:dyDescent="0.25">
      <c r="A47" t="str">
        <f>"43"</f>
        <v>43</v>
      </c>
      <c r="B47" t="str">
        <f t="shared" si="0"/>
        <v>102</v>
      </c>
      <c r="C47" t="str">
        <f t="shared" si="2"/>
        <v>2</v>
      </c>
      <c r="D47" t="str">
        <f>"17"</f>
        <v>17</v>
      </c>
      <c r="E47" t="str">
        <f>"102-2-17"</f>
        <v>102-2-17</v>
      </c>
      <c r="F47" t="s">
        <v>27</v>
      </c>
      <c r="G47" t="s">
        <v>29</v>
      </c>
      <c r="H47">
        <v>3</v>
      </c>
      <c r="M47">
        <v>1</v>
      </c>
      <c r="N47">
        <v>0</v>
      </c>
      <c r="O47">
        <v>1</v>
      </c>
      <c r="P47">
        <v>1</v>
      </c>
      <c r="Q47">
        <v>0</v>
      </c>
      <c r="R47">
        <v>1</v>
      </c>
      <c r="S47">
        <v>0</v>
      </c>
      <c r="T47">
        <v>1</v>
      </c>
      <c r="U47">
        <v>0</v>
      </c>
      <c r="V47">
        <v>1</v>
      </c>
      <c r="Y47">
        <v>0</v>
      </c>
      <c r="Z47">
        <v>1</v>
      </c>
    </row>
    <row r="48" spans="1:26" x14ac:dyDescent="0.25">
      <c r="A48" t="str">
        <f>"44"</f>
        <v>44</v>
      </c>
      <c r="B48" t="str">
        <f t="shared" si="0"/>
        <v>102</v>
      </c>
      <c r="C48" t="str">
        <f t="shared" si="2"/>
        <v>2</v>
      </c>
      <c r="D48" t="str">
        <f>"6"</f>
        <v>6</v>
      </c>
      <c r="E48" t="str">
        <f>"102-2-6"</f>
        <v>102-2-6</v>
      </c>
      <c r="F48" t="s">
        <v>27</v>
      </c>
      <c r="G48" t="s">
        <v>28</v>
      </c>
      <c r="H48">
        <v>1</v>
      </c>
      <c r="Q48">
        <v>1</v>
      </c>
      <c r="R48">
        <v>0</v>
      </c>
      <c r="S48">
        <v>0</v>
      </c>
      <c r="T48">
        <v>1</v>
      </c>
      <c r="U48">
        <v>0</v>
      </c>
      <c r="V48">
        <v>1</v>
      </c>
    </row>
    <row r="49" spans="1:26" x14ac:dyDescent="0.25">
      <c r="A49" t="str">
        <f>"45"</f>
        <v>45</v>
      </c>
      <c r="B49" t="str">
        <f t="shared" si="0"/>
        <v>102</v>
      </c>
      <c r="C49" t="str">
        <f t="shared" si="2"/>
        <v>2</v>
      </c>
      <c r="D49" t="str">
        <f>"18"</f>
        <v>18</v>
      </c>
      <c r="E49" t="str">
        <f>"102-2-18"</f>
        <v>102-2-18</v>
      </c>
      <c r="F49" t="s">
        <v>27</v>
      </c>
      <c r="G49" t="s">
        <v>28</v>
      </c>
      <c r="H49">
        <v>1</v>
      </c>
      <c r="Q49">
        <v>1</v>
      </c>
      <c r="R49">
        <v>0</v>
      </c>
      <c r="S49">
        <v>0</v>
      </c>
      <c r="T49">
        <v>1</v>
      </c>
      <c r="U49">
        <v>0</v>
      </c>
      <c r="V49">
        <v>1</v>
      </c>
    </row>
    <row r="50" spans="1:26" x14ac:dyDescent="0.25">
      <c r="A50" t="str">
        <f>"46"</f>
        <v>46</v>
      </c>
      <c r="B50" t="str">
        <f t="shared" si="0"/>
        <v>102</v>
      </c>
      <c r="C50" t="str">
        <f t="shared" si="2"/>
        <v>2</v>
      </c>
      <c r="D50" t="str">
        <f>"9"</f>
        <v>9</v>
      </c>
      <c r="E50" t="str">
        <f>"102-2-9"</f>
        <v>102-2-9</v>
      </c>
      <c r="F50" t="s">
        <v>27</v>
      </c>
      <c r="G50" t="s">
        <v>28</v>
      </c>
      <c r="H50">
        <v>1</v>
      </c>
      <c r="Q50">
        <v>0</v>
      </c>
      <c r="R50">
        <v>1</v>
      </c>
      <c r="S50">
        <v>0</v>
      </c>
      <c r="T50">
        <v>1</v>
      </c>
      <c r="U50">
        <v>0</v>
      </c>
      <c r="V50">
        <v>1</v>
      </c>
    </row>
    <row r="51" spans="1:26" x14ac:dyDescent="0.25">
      <c r="A51" t="str">
        <f>"47"</f>
        <v>47</v>
      </c>
      <c r="B51" t="str">
        <f t="shared" si="0"/>
        <v>102</v>
      </c>
      <c r="C51" t="str">
        <f t="shared" si="2"/>
        <v>2</v>
      </c>
      <c r="D51" t="str">
        <f>"19"</f>
        <v>19</v>
      </c>
      <c r="E51" t="str">
        <f>"102-2-19"</f>
        <v>102-2-19</v>
      </c>
      <c r="F51" t="s">
        <v>27</v>
      </c>
      <c r="G51" t="s">
        <v>28</v>
      </c>
      <c r="H51">
        <v>1</v>
      </c>
      <c r="Q51">
        <v>0</v>
      </c>
      <c r="R51">
        <v>1</v>
      </c>
      <c r="S51">
        <v>0</v>
      </c>
      <c r="T51">
        <v>1</v>
      </c>
      <c r="U51">
        <v>1</v>
      </c>
      <c r="V51">
        <v>0</v>
      </c>
    </row>
    <row r="52" spans="1:26" x14ac:dyDescent="0.25">
      <c r="A52" t="str">
        <f>"48"</f>
        <v>48</v>
      </c>
      <c r="B52" t="str">
        <f t="shared" si="0"/>
        <v>102</v>
      </c>
      <c r="C52" t="str">
        <f t="shared" si="2"/>
        <v>2</v>
      </c>
      <c r="D52" t="str">
        <f>"5"</f>
        <v>5</v>
      </c>
      <c r="E52" t="str">
        <f>"102-2-5"</f>
        <v>102-2-5</v>
      </c>
      <c r="F52" t="s">
        <v>27</v>
      </c>
      <c r="G52" t="s">
        <v>28</v>
      </c>
      <c r="H52">
        <v>1</v>
      </c>
      <c r="Q52">
        <v>0</v>
      </c>
      <c r="R52">
        <v>1</v>
      </c>
      <c r="S52">
        <v>0</v>
      </c>
      <c r="T52">
        <v>1</v>
      </c>
      <c r="U52">
        <v>1</v>
      </c>
      <c r="V52">
        <v>0</v>
      </c>
    </row>
    <row r="53" spans="1:26" x14ac:dyDescent="0.25">
      <c r="A53" t="str">
        <f>"49"</f>
        <v>49</v>
      </c>
      <c r="B53" t="str">
        <f t="shared" si="0"/>
        <v>102</v>
      </c>
      <c r="C53" t="str">
        <f t="shared" si="2"/>
        <v>2</v>
      </c>
      <c r="D53" t="str">
        <f>"20"</f>
        <v>20</v>
      </c>
      <c r="E53" t="str">
        <f>"102-2-20"</f>
        <v>102-2-20</v>
      </c>
      <c r="F53" t="s">
        <v>27</v>
      </c>
      <c r="G53" t="s">
        <v>28</v>
      </c>
      <c r="H53">
        <v>1</v>
      </c>
      <c r="Q53">
        <v>1</v>
      </c>
      <c r="R53">
        <v>0</v>
      </c>
      <c r="S53">
        <v>1</v>
      </c>
      <c r="T53">
        <v>0</v>
      </c>
      <c r="U53">
        <v>1</v>
      </c>
      <c r="V53">
        <v>0</v>
      </c>
    </row>
    <row r="54" spans="1:26" x14ac:dyDescent="0.25">
      <c r="A54" t="str">
        <f>"50"</f>
        <v>50</v>
      </c>
      <c r="B54" t="str">
        <f t="shared" si="0"/>
        <v>102</v>
      </c>
      <c r="C54" t="str">
        <f t="shared" si="2"/>
        <v>2</v>
      </c>
      <c r="D54" t="str">
        <f>"1"</f>
        <v>1</v>
      </c>
      <c r="E54" t="str">
        <f>"102-2-1"</f>
        <v>102-2-1</v>
      </c>
      <c r="F54" t="s">
        <v>27</v>
      </c>
      <c r="G54" t="s">
        <v>29</v>
      </c>
      <c r="H54">
        <v>3</v>
      </c>
      <c r="M54">
        <v>1</v>
      </c>
      <c r="N54">
        <v>0</v>
      </c>
      <c r="O54">
        <v>1</v>
      </c>
      <c r="P54">
        <v>1</v>
      </c>
      <c r="Q54">
        <v>0</v>
      </c>
      <c r="R54">
        <v>1</v>
      </c>
      <c r="S54">
        <v>0</v>
      </c>
      <c r="T54">
        <v>1</v>
      </c>
      <c r="U54">
        <v>0</v>
      </c>
      <c r="V54">
        <v>1</v>
      </c>
      <c r="Y54">
        <v>0</v>
      </c>
      <c r="Z54">
        <v>1</v>
      </c>
    </row>
    <row r="55" spans="1:26" x14ac:dyDescent="0.25">
      <c r="A55" t="str">
        <f>"51"</f>
        <v>51</v>
      </c>
      <c r="B55" t="str">
        <f t="shared" si="0"/>
        <v>102</v>
      </c>
      <c r="C55" t="str">
        <f t="shared" ref="C55:C79" si="3">"3"</f>
        <v>3</v>
      </c>
      <c r="D55" t="str">
        <f>"21"</f>
        <v>21</v>
      </c>
      <c r="E55" t="str">
        <f>"102-3-21"</f>
        <v>102-3-21</v>
      </c>
      <c r="F55" t="s">
        <v>27</v>
      </c>
      <c r="G55" t="s">
        <v>28</v>
      </c>
      <c r="H55">
        <v>1</v>
      </c>
      <c r="Q55">
        <v>1</v>
      </c>
      <c r="R55">
        <v>0</v>
      </c>
      <c r="S55">
        <v>1</v>
      </c>
      <c r="T55">
        <v>0</v>
      </c>
      <c r="U55">
        <v>1</v>
      </c>
      <c r="V55">
        <v>0</v>
      </c>
    </row>
    <row r="56" spans="1:26" x14ac:dyDescent="0.25">
      <c r="A56" t="str">
        <f>"52"</f>
        <v>52</v>
      </c>
      <c r="B56" t="str">
        <f t="shared" si="0"/>
        <v>102</v>
      </c>
      <c r="C56" t="str">
        <f t="shared" si="3"/>
        <v>3</v>
      </c>
      <c r="D56" t="str">
        <f>"11"</f>
        <v>11</v>
      </c>
      <c r="E56" t="str">
        <f>"102-3-11"</f>
        <v>102-3-11</v>
      </c>
      <c r="F56" t="s">
        <v>27</v>
      </c>
      <c r="G56" t="s">
        <v>28</v>
      </c>
      <c r="H56">
        <v>1</v>
      </c>
      <c r="Q56">
        <v>0</v>
      </c>
      <c r="R56">
        <v>1</v>
      </c>
      <c r="S56">
        <v>0</v>
      </c>
      <c r="T56">
        <v>1</v>
      </c>
      <c r="U56">
        <v>1</v>
      </c>
      <c r="V56">
        <v>0</v>
      </c>
    </row>
    <row r="57" spans="1:26" x14ac:dyDescent="0.25">
      <c r="A57" t="str">
        <f>"53"</f>
        <v>53</v>
      </c>
      <c r="B57" t="str">
        <f t="shared" si="0"/>
        <v>102</v>
      </c>
      <c r="C57" t="str">
        <f t="shared" si="3"/>
        <v>3</v>
      </c>
      <c r="D57" t="str">
        <f>"3"</f>
        <v>3</v>
      </c>
      <c r="E57" t="str">
        <f>"102-3-3"</f>
        <v>102-3-3</v>
      </c>
      <c r="F57" t="s">
        <v>27</v>
      </c>
      <c r="G57" t="s">
        <v>28</v>
      </c>
      <c r="H57">
        <v>1</v>
      </c>
      <c r="Q57">
        <v>1</v>
      </c>
      <c r="R57">
        <v>0</v>
      </c>
      <c r="S57">
        <v>0</v>
      </c>
      <c r="T57">
        <v>1</v>
      </c>
      <c r="U57">
        <v>1</v>
      </c>
      <c r="V57">
        <v>0</v>
      </c>
    </row>
    <row r="58" spans="1:26" x14ac:dyDescent="0.25">
      <c r="A58" t="str">
        <f>"54"</f>
        <v>54</v>
      </c>
      <c r="B58" t="str">
        <f t="shared" si="0"/>
        <v>102</v>
      </c>
      <c r="C58" t="str">
        <f t="shared" si="3"/>
        <v>3</v>
      </c>
      <c r="D58" t="str">
        <f>"12"</f>
        <v>12</v>
      </c>
      <c r="E58" t="str">
        <f>"102-3-12"</f>
        <v>102-3-12</v>
      </c>
      <c r="F58" t="s">
        <v>27</v>
      </c>
      <c r="G58" t="s">
        <v>29</v>
      </c>
      <c r="H58">
        <v>3</v>
      </c>
      <c r="M58">
        <v>1</v>
      </c>
      <c r="N58">
        <v>0</v>
      </c>
      <c r="O58">
        <v>1</v>
      </c>
      <c r="P58">
        <v>1</v>
      </c>
      <c r="Q58">
        <v>0</v>
      </c>
      <c r="R58">
        <v>1</v>
      </c>
      <c r="S58">
        <v>0</v>
      </c>
      <c r="T58">
        <v>1</v>
      </c>
      <c r="U58">
        <v>0</v>
      </c>
      <c r="V58">
        <v>1</v>
      </c>
      <c r="Y58">
        <v>0</v>
      </c>
      <c r="Z58">
        <v>1</v>
      </c>
    </row>
    <row r="59" spans="1:26" x14ac:dyDescent="0.25">
      <c r="A59" t="str">
        <f>"55"</f>
        <v>55</v>
      </c>
      <c r="B59" t="str">
        <f t="shared" si="0"/>
        <v>102</v>
      </c>
      <c r="C59" t="str">
        <f t="shared" si="3"/>
        <v>3</v>
      </c>
      <c r="D59" t="str">
        <f>"2"</f>
        <v>2</v>
      </c>
      <c r="E59" t="str">
        <f>"102-3-2"</f>
        <v>102-3-2</v>
      </c>
      <c r="F59" t="s">
        <v>27</v>
      </c>
      <c r="G59" t="s">
        <v>28</v>
      </c>
      <c r="H59">
        <v>1</v>
      </c>
      <c r="Q59">
        <v>0</v>
      </c>
      <c r="R59">
        <v>0</v>
      </c>
      <c r="S59">
        <v>0</v>
      </c>
      <c r="T59">
        <v>1</v>
      </c>
      <c r="U59">
        <v>0</v>
      </c>
      <c r="V59">
        <v>1</v>
      </c>
    </row>
    <row r="60" spans="1:26" x14ac:dyDescent="0.25">
      <c r="A60" t="str">
        <f>"56"</f>
        <v>56</v>
      </c>
      <c r="B60" t="str">
        <f t="shared" si="0"/>
        <v>102</v>
      </c>
      <c r="C60" t="str">
        <f t="shared" si="3"/>
        <v>3</v>
      </c>
      <c r="D60" t="str">
        <f>"22"</f>
        <v>22</v>
      </c>
      <c r="E60" t="str">
        <f>"102-3-22"</f>
        <v>102-3-22</v>
      </c>
      <c r="F60" t="s">
        <v>27</v>
      </c>
      <c r="G60" t="s">
        <v>28</v>
      </c>
      <c r="H60">
        <v>1</v>
      </c>
      <c r="Q60">
        <v>0</v>
      </c>
      <c r="R60">
        <v>1</v>
      </c>
      <c r="S60">
        <v>1</v>
      </c>
      <c r="T60">
        <v>0</v>
      </c>
      <c r="U60">
        <v>0</v>
      </c>
      <c r="V60">
        <v>1</v>
      </c>
    </row>
    <row r="61" spans="1:26" x14ac:dyDescent="0.25">
      <c r="A61" t="str">
        <f>"57"</f>
        <v>57</v>
      </c>
      <c r="B61" t="str">
        <f t="shared" si="0"/>
        <v>102</v>
      </c>
      <c r="C61" t="str">
        <f t="shared" si="3"/>
        <v>3</v>
      </c>
      <c r="D61" t="str">
        <f>"13"</f>
        <v>13</v>
      </c>
      <c r="E61" t="str">
        <f>"102-3-13"</f>
        <v>102-3-13</v>
      </c>
      <c r="F61" t="s">
        <v>27</v>
      </c>
      <c r="G61" t="s">
        <v>28</v>
      </c>
      <c r="H61">
        <v>1</v>
      </c>
      <c r="Q61">
        <v>1</v>
      </c>
      <c r="R61">
        <v>0</v>
      </c>
      <c r="S61">
        <v>1</v>
      </c>
      <c r="T61">
        <v>0</v>
      </c>
      <c r="U61">
        <v>0</v>
      </c>
      <c r="V61">
        <v>1</v>
      </c>
    </row>
    <row r="62" spans="1:26" x14ac:dyDescent="0.25">
      <c r="A62" t="str">
        <f>"58"</f>
        <v>58</v>
      </c>
      <c r="B62" t="str">
        <f t="shared" si="0"/>
        <v>102</v>
      </c>
      <c r="C62" t="str">
        <f t="shared" si="3"/>
        <v>3</v>
      </c>
      <c r="D62" t="str">
        <f>"7"</f>
        <v>7</v>
      </c>
      <c r="E62" t="str">
        <f>"102-3-7"</f>
        <v>102-3-7</v>
      </c>
      <c r="F62" t="s">
        <v>27</v>
      </c>
      <c r="G62" t="s">
        <v>28</v>
      </c>
      <c r="H62">
        <v>1</v>
      </c>
      <c r="Q62">
        <v>0</v>
      </c>
      <c r="R62">
        <v>1</v>
      </c>
      <c r="S62">
        <v>0</v>
      </c>
      <c r="T62">
        <v>1</v>
      </c>
      <c r="U62">
        <v>0</v>
      </c>
      <c r="V62">
        <v>1</v>
      </c>
    </row>
    <row r="63" spans="1:26" x14ac:dyDescent="0.25">
      <c r="A63" t="str">
        <f>"59"</f>
        <v>59</v>
      </c>
      <c r="B63" t="str">
        <f t="shared" si="0"/>
        <v>102</v>
      </c>
      <c r="C63" t="str">
        <f t="shared" si="3"/>
        <v>3</v>
      </c>
      <c r="D63" t="str">
        <f>"24"</f>
        <v>24</v>
      </c>
      <c r="E63" t="str">
        <f>"102-3-24"</f>
        <v>102-3-24</v>
      </c>
      <c r="F63" t="s">
        <v>27</v>
      </c>
      <c r="G63" t="s">
        <v>28</v>
      </c>
      <c r="H63">
        <v>1</v>
      </c>
      <c r="Q63">
        <v>0</v>
      </c>
      <c r="R63">
        <v>1</v>
      </c>
      <c r="S63">
        <v>0</v>
      </c>
      <c r="T63">
        <v>1</v>
      </c>
      <c r="U63">
        <v>0</v>
      </c>
      <c r="V63">
        <v>1</v>
      </c>
    </row>
    <row r="64" spans="1:26" x14ac:dyDescent="0.25">
      <c r="A64" t="str">
        <f>"60"</f>
        <v>60</v>
      </c>
      <c r="B64" t="str">
        <f t="shared" si="0"/>
        <v>102</v>
      </c>
      <c r="C64" t="str">
        <f t="shared" si="3"/>
        <v>3</v>
      </c>
      <c r="D64" t="str">
        <f>"14"</f>
        <v>14</v>
      </c>
      <c r="E64" t="str">
        <f>"102-3-14"</f>
        <v>102-3-14</v>
      </c>
      <c r="F64" t="s">
        <v>27</v>
      </c>
      <c r="G64" t="s">
        <v>28</v>
      </c>
      <c r="H64">
        <v>1</v>
      </c>
      <c r="Q64">
        <v>1</v>
      </c>
      <c r="R64">
        <v>0</v>
      </c>
      <c r="S64">
        <v>1</v>
      </c>
      <c r="T64">
        <v>0</v>
      </c>
      <c r="U64">
        <v>1</v>
      </c>
      <c r="V64">
        <v>0</v>
      </c>
    </row>
    <row r="65" spans="1:26" x14ac:dyDescent="0.25">
      <c r="A65" t="str">
        <f>"61"</f>
        <v>61</v>
      </c>
      <c r="B65" t="str">
        <f t="shared" si="0"/>
        <v>102</v>
      </c>
      <c r="C65" t="str">
        <f t="shared" si="3"/>
        <v>3</v>
      </c>
      <c r="D65" t="str">
        <f>"8"</f>
        <v>8</v>
      </c>
      <c r="E65" t="str">
        <f>"102-3-8"</f>
        <v>102-3-8</v>
      </c>
      <c r="F65" t="s">
        <v>27</v>
      </c>
      <c r="G65" t="s">
        <v>28</v>
      </c>
      <c r="H65">
        <v>1</v>
      </c>
      <c r="Q65">
        <v>1</v>
      </c>
      <c r="R65">
        <v>0</v>
      </c>
      <c r="S65">
        <v>1</v>
      </c>
      <c r="T65">
        <v>0</v>
      </c>
      <c r="U65">
        <v>1</v>
      </c>
      <c r="V65">
        <v>0</v>
      </c>
    </row>
    <row r="66" spans="1:26" x14ac:dyDescent="0.25">
      <c r="A66" t="str">
        <f>"62"</f>
        <v>62</v>
      </c>
      <c r="B66" t="str">
        <f t="shared" si="0"/>
        <v>102</v>
      </c>
      <c r="C66" t="str">
        <f t="shared" si="3"/>
        <v>3</v>
      </c>
      <c r="D66" t="str">
        <f>"23"</f>
        <v>23</v>
      </c>
      <c r="E66" t="str">
        <f>"102-3-23"</f>
        <v>102-3-23</v>
      </c>
      <c r="F66" t="s">
        <v>27</v>
      </c>
      <c r="G66" t="s">
        <v>28</v>
      </c>
      <c r="H66">
        <v>1</v>
      </c>
      <c r="Q66">
        <v>0</v>
      </c>
      <c r="R66">
        <v>1</v>
      </c>
      <c r="S66">
        <v>0</v>
      </c>
      <c r="T66">
        <v>1</v>
      </c>
      <c r="U66">
        <v>0</v>
      </c>
      <c r="V66">
        <v>1</v>
      </c>
    </row>
    <row r="67" spans="1:26" x14ac:dyDescent="0.25">
      <c r="A67" t="str">
        <f>"63"</f>
        <v>63</v>
      </c>
      <c r="B67" t="str">
        <f t="shared" si="0"/>
        <v>102</v>
      </c>
      <c r="C67" t="str">
        <f t="shared" si="3"/>
        <v>3</v>
      </c>
      <c r="D67" t="str">
        <f>"15"</f>
        <v>15</v>
      </c>
      <c r="E67" t="str">
        <f>"102-3-15"</f>
        <v>102-3-15</v>
      </c>
      <c r="F67" t="s">
        <v>27</v>
      </c>
      <c r="G67" t="s">
        <v>28</v>
      </c>
      <c r="H67">
        <v>1</v>
      </c>
      <c r="Q67">
        <v>0</v>
      </c>
      <c r="R67">
        <v>1</v>
      </c>
      <c r="S67">
        <v>0</v>
      </c>
      <c r="T67">
        <v>1</v>
      </c>
      <c r="U67">
        <v>0</v>
      </c>
      <c r="V67">
        <v>1</v>
      </c>
    </row>
    <row r="68" spans="1:26" x14ac:dyDescent="0.25">
      <c r="A68" t="str">
        <f>"64"</f>
        <v>64</v>
      </c>
      <c r="B68" t="str">
        <f t="shared" si="0"/>
        <v>102</v>
      </c>
      <c r="C68" t="str">
        <f t="shared" si="3"/>
        <v>3</v>
      </c>
      <c r="D68" t="str">
        <f>"4"</f>
        <v>4</v>
      </c>
      <c r="E68" t="str">
        <f>"102-3-4"</f>
        <v>102-3-4</v>
      </c>
      <c r="F68" t="s">
        <v>27</v>
      </c>
      <c r="G68" t="s">
        <v>28</v>
      </c>
      <c r="H68">
        <v>1</v>
      </c>
      <c r="Q68">
        <v>0</v>
      </c>
      <c r="R68">
        <v>1</v>
      </c>
      <c r="S68">
        <v>0</v>
      </c>
      <c r="T68">
        <v>1</v>
      </c>
      <c r="U68">
        <v>0</v>
      </c>
      <c r="V68">
        <v>1</v>
      </c>
    </row>
    <row r="69" spans="1:26" x14ac:dyDescent="0.25">
      <c r="A69" t="str">
        <f>"65"</f>
        <v>65</v>
      </c>
      <c r="B69" t="str">
        <f t="shared" ref="B69:B132" si="4">"102"</f>
        <v>102</v>
      </c>
      <c r="C69" t="str">
        <f t="shared" si="3"/>
        <v>3</v>
      </c>
      <c r="D69" t="str">
        <f>"25"</f>
        <v>25</v>
      </c>
      <c r="E69" t="str">
        <f>"102-3-25"</f>
        <v>102-3-25</v>
      </c>
      <c r="F69" t="s">
        <v>27</v>
      </c>
      <c r="G69" t="s">
        <v>28</v>
      </c>
      <c r="H69">
        <v>1</v>
      </c>
      <c r="Q69">
        <v>1</v>
      </c>
      <c r="R69">
        <v>0</v>
      </c>
      <c r="S69">
        <v>1</v>
      </c>
      <c r="T69">
        <v>0</v>
      </c>
      <c r="U69">
        <v>1</v>
      </c>
      <c r="V69">
        <v>0</v>
      </c>
    </row>
    <row r="70" spans="1:26" x14ac:dyDescent="0.25">
      <c r="A70" t="str">
        <f>"66"</f>
        <v>66</v>
      </c>
      <c r="B70" t="str">
        <f t="shared" si="4"/>
        <v>102</v>
      </c>
      <c r="C70" t="str">
        <f t="shared" si="3"/>
        <v>3</v>
      </c>
      <c r="D70" t="str">
        <f>"16"</f>
        <v>16</v>
      </c>
      <c r="E70" t="str">
        <f>"102-3-16"</f>
        <v>102-3-16</v>
      </c>
      <c r="F70" t="s">
        <v>27</v>
      </c>
      <c r="G70" t="s">
        <v>28</v>
      </c>
      <c r="H70">
        <v>1</v>
      </c>
      <c r="Q70">
        <v>1</v>
      </c>
      <c r="R70">
        <v>0</v>
      </c>
      <c r="S70">
        <v>1</v>
      </c>
      <c r="T70">
        <v>0</v>
      </c>
      <c r="U70">
        <v>0</v>
      </c>
      <c r="V70">
        <v>1</v>
      </c>
    </row>
    <row r="71" spans="1:26" x14ac:dyDescent="0.25">
      <c r="A71" t="str">
        <f>"67"</f>
        <v>67</v>
      </c>
      <c r="B71" t="str">
        <f t="shared" si="4"/>
        <v>102</v>
      </c>
      <c r="C71" t="str">
        <f t="shared" si="3"/>
        <v>3</v>
      </c>
      <c r="D71" t="str">
        <f>"10"</f>
        <v>10</v>
      </c>
      <c r="E71" t="str">
        <f>"102-3-10"</f>
        <v>102-3-10</v>
      </c>
      <c r="F71" t="s">
        <v>27</v>
      </c>
      <c r="G71" t="s">
        <v>28</v>
      </c>
      <c r="H71">
        <v>1</v>
      </c>
      <c r="Q71">
        <v>1</v>
      </c>
      <c r="R71">
        <v>0</v>
      </c>
      <c r="S71">
        <v>1</v>
      </c>
      <c r="T71">
        <v>0</v>
      </c>
      <c r="U71">
        <v>1</v>
      </c>
      <c r="V71">
        <v>0</v>
      </c>
    </row>
    <row r="72" spans="1:26" x14ac:dyDescent="0.25">
      <c r="A72" t="str">
        <f>"68"</f>
        <v>68</v>
      </c>
      <c r="B72" t="str">
        <f t="shared" si="4"/>
        <v>102</v>
      </c>
      <c r="C72" t="str">
        <f t="shared" si="3"/>
        <v>3</v>
      </c>
      <c r="D72" t="str">
        <f>"17"</f>
        <v>17</v>
      </c>
      <c r="E72" t="str">
        <f>"102-3-17"</f>
        <v>102-3-17</v>
      </c>
      <c r="F72" t="s">
        <v>27</v>
      </c>
      <c r="G72" t="s">
        <v>29</v>
      </c>
      <c r="H72">
        <v>3</v>
      </c>
      <c r="M72">
        <v>1</v>
      </c>
      <c r="N72">
        <v>1</v>
      </c>
      <c r="O72">
        <v>1</v>
      </c>
      <c r="P72">
        <v>0</v>
      </c>
      <c r="Q72">
        <v>1</v>
      </c>
      <c r="R72">
        <v>0</v>
      </c>
      <c r="S72">
        <v>0</v>
      </c>
      <c r="T72">
        <v>1</v>
      </c>
      <c r="U72">
        <v>0</v>
      </c>
      <c r="V72">
        <v>1</v>
      </c>
      <c r="Y72">
        <v>0</v>
      </c>
      <c r="Z72">
        <v>1</v>
      </c>
    </row>
    <row r="73" spans="1:26" x14ac:dyDescent="0.25">
      <c r="A73" t="str">
        <f>"69"</f>
        <v>69</v>
      </c>
      <c r="B73" t="str">
        <f t="shared" si="4"/>
        <v>102</v>
      </c>
      <c r="C73" t="str">
        <f t="shared" si="3"/>
        <v>3</v>
      </c>
      <c r="D73" t="str">
        <f>"9"</f>
        <v>9</v>
      </c>
      <c r="E73" t="str">
        <f>"102-3-9"</f>
        <v>102-3-9</v>
      </c>
      <c r="F73" t="s">
        <v>27</v>
      </c>
      <c r="G73" t="s">
        <v>29</v>
      </c>
      <c r="H73">
        <v>3</v>
      </c>
      <c r="M73">
        <v>1</v>
      </c>
      <c r="N73">
        <v>1</v>
      </c>
      <c r="O73">
        <v>1</v>
      </c>
      <c r="P73">
        <v>0</v>
      </c>
      <c r="Q73">
        <v>1</v>
      </c>
      <c r="R73">
        <v>0</v>
      </c>
      <c r="S73">
        <v>0</v>
      </c>
      <c r="T73">
        <v>1</v>
      </c>
      <c r="U73">
        <v>1</v>
      </c>
      <c r="V73">
        <v>0</v>
      </c>
      <c r="Y73">
        <v>1</v>
      </c>
      <c r="Z73">
        <v>0</v>
      </c>
    </row>
    <row r="74" spans="1:26" x14ac:dyDescent="0.25">
      <c r="A74" t="str">
        <f>"70"</f>
        <v>70</v>
      </c>
      <c r="B74" t="str">
        <f t="shared" si="4"/>
        <v>102</v>
      </c>
      <c r="C74" t="str">
        <f t="shared" si="3"/>
        <v>3</v>
      </c>
      <c r="D74" t="str">
        <f>"18"</f>
        <v>18</v>
      </c>
      <c r="E74" t="str">
        <f>"102-3-18"</f>
        <v>102-3-18</v>
      </c>
      <c r="F74" t="s">
        <v>27</v>
      </c>
      <c r="G74" t="s">
        <v>30</v>
      </c>
      <c r="H74">
        <v>2</v>
      </c>
      <c r="I74">
        <v>0</v>
      </c>
      <c r="J74">
        <v>0</v>
      </c>
      <c r="K74">
        <v>0</v>
      </c>
      <c r="L74">
        <v>1</v>
      </c>
      <c r="Q74">
        <v>1</v>
      </c>
      <c r="R74">
        <v>0</v>
      </c>
      <c r="S74">
        <v>1</v>
      </c>
      <c r="T74">
        <v>0</v>
      </c>
      <c r="U74">
        <v>0</v>
      </c>
      <c r="V74">
        <v>1</v>
      </c>
      <c r="W74">
        <v>0</v>
      </c>
      <c r="X74">
        <v>1</v>
      </c>
    </row>
    <row r="75" spans="1:26" x14ac:dyDescent="0.25">
      <c r="A75" t="str">
        <f>"71"</f>
        <v>71</v>
      </c>
      <c r="B75" t="str">
        <f t="shared" si="4"/>
        <v>102</v>
      </c>
      <c r="C75" t="str">
        <f t="shared" si="3"/>
        <v>3</v>
      </c>
      <c r="D75" t="str">
        <f>"5"</f>
        <v>5</v>
      </c>
      <c r="E75" t="str">
        <f>"102-3-5"</f>
        <v>102-3-5</v>
      </c>
      <c r="F75" t="s">
        <v>27</v>
      </c>
      <c r="G75" t="s">
        <v>28</v>
      </c>
      <c r="H75">
        <v>1</v>
      </c>
      <c r="Q75">
        <v>0</v>
      </c>
      <c r="R75">
        <v>1</v>
      </c>
      <c r="S75">
        <v>0</v>
      </c>
      <c r="T75">
        <v>1</v>
      </c>
      <c r="U75">
        <v>0</v>
      </c>
      <c r="V75">
        <v>1</v>
      </c>
    </row>
    <row r="76" spans="1:26" x14ac:dyDescent="0.25">
      <c r="A76" t="str">
        <f>"72"</f>
        <v>72</v>
      </c>
      <c r="B76" t="str">
        <f t="shared" si="4"/>
        <v>102</v>
      </c>
      <c r="C76" t="str">
        <f t="shared" si="3"/>
        <v>3</v>
      </c>
      <c r="D76" t="str">
        <f>"19"</f>
        <v>19</v>
      </c>
      <c r="E76" t="str">
        <f>"102-3-19"</f>
        <v>102-3-19</v>
      </c>
      <c r="F76" t="s">
        <v>27</v>
      </c>
      <c r="G76" t="s">
        <v>28</v>
      </c>
      <c r="H76">
        <v>1</v>
      </c>
      <c r="Q76">
        <v>1</v>
      </c>
      <c r="R76">
        <v>0</v>
      </c>
      <c r="S76">
        <v>1</v>
      </c>
      <c r="T76">
        <v>0</v>
      </c>
      <c r="U76">
        <v>1</v>
      </c>
      <c r="V76">
        <v>0</v>
      </c>
    </row>
    <row r="77" spans="1:26" x14ac:dyDescent="0.25">
      <c r="A77" t="str">
        <f>"73"</f>
        <v>73</v>
      </c>
      <c r="B77" t="str">
        <f t="shared" si="4"/>
        <v>102</v>
      </c>
      <c r="C77" t="str">
        <f t="shared" si="3"/>
        <v>3</v>
      </c>
      <c r="D77" t="str">
        <f>"1"</f>
        <v>1</v>
      </c>
      <c r="E77" t="str">
        <f>"102-3-1"</f>
        <v>102-3-1</v>
      </c>
      <c r="F77" t="s">
        <v>27</v>
      </c>
      <c r="G77" t="s">
        <v>29</v>
      </c>
      <c r="H77">
        <v>3</v>
      </c>
      <c r="M77">
        <v>1</v>
      </c>
      <c r="N77">
        <v>1</v>
      </c>
      <c r="O77">
        <v>0</v>
      </c>
      <c r="P77">
        <v>1</v>
      </c>
      <c r="Q77">
        <v>1</v>
      </c>
      <c r="R77">
        <v>0</v>
      </c>
      <c r="S77">
        <v>1</v>
      </c>
      <c r="T77">
        <v>0</v>
      </c>
      <c r="U77">
        <v>0</v>
      </c>
      <c r="V77">
        <v>1</v>
      </c>
      <c r="Y77">
        <v>0</v>
      </c>
      <c r="Z77">
        <v>1</v>
      </c>
    </row>
    <row r="78" spans="1:26" x14ac:dyDescent="0.25">
      <c r="A78" t="str">
        <f>"74"</f>
        <v>74</v>
      </c>
      <c r="B78" t="str">
        <f t="shared" si="4"/>
        <v>102</v>
      </c>
      <c r="C78" t="str">
        <f t="shared" si="3"/>
        <v>3</v>
      </c>
      <c r="D78" t="str">
        <f>"20"</f>
        <v>20</v>
      </c>
      <c r="E78" t="str">
        <f>"102-3-20"</f>
        <v>102-3-20</v>
      </c>
      <c r="F78" t="s">
        <v>27</v>
      </c>
      <c r="G78" t="s">
        <v>28</v>
      </c>
      <c r="H78">
        <v>1</v>
      </c>
      <c r="Q78">
        <v>0</v>
      </c>
      <c r="R78">
        <v>1</v>
      </c>
      <c r="S78">
        <v>0</v>
      </c>
      <c r="T78">
        <v>1</v>
      </c>
      <c r="U78">
        <v>1</v>
      </c>
      <c r="V78">
        <v>0</v>
      </c>
    </row>
    <row r="79" spans="1:26" x14ac:dyDescent="0.25">
      <c r="A79" t="str">
        <f>"75"</f>
        <v>75</v>
      </c>
      <c r="B79" t="str">
        <f t="shared" si="4"/>
        <v>102</v>
      </c>
      <c r="C79" t="str">
        <f t="shared" si="3"/>
        <v>3</v>
      </c>
      <c r="D79" t="str">
        <f>"6"</f>
        <v>6</v>
      </c>
      <c r="E79" t="str">
        <f>"102-3-6"</f>
        <v>102-3-6</v>
      </c>
      <c r="F79" t="s">
        <v>27</v>
      </c>
      <c r="G79" t="s">
        <v>29</v>
      </c>
      <c r="H79">
        <v>3</v>
      </c>
      <c r="M79">
        <v>0</v>
      </c>
      <c r="N79">
        <v>1</v>
      </c>
      <c r="O79">
        <v>1</v>
      </c>
      <c r="P79">
        <v>1</v>
      </c>
      <c r="Q79">
        <v>1</v>
      </c>
      <c r="R79">
        <v>0</v>
      </c>
      <c r="S79">
        <v>1</v>
      </c>
      <c r="T79">
        <v>0</v>
      </c>
      <c r="U79">
        <v>1</v>
      </c>
      <c r="V79">
        <v>0</v>
      </c>
      <c r="Y79">
        <v>1</v>
      </c>
      <c r="Z79">
        <v>0</v>
      </c>
    </row>
    <row r="80" spans="1:26" x14ac:dyDescent="0.25">
      <c r="A80" t="str">
        <f>"76"</f>
        <v>76</v>
      </c>
      <c r="B80" t="str">
        <f t="shared" si="4"/>
        <v>102</v>
      </c>
      <c r="C80" t="str">
        <f t="shared" ref="C80:C104" si="5">"4"</f>
        <v>4</v>
      </c>
      <c r="D80" t="str">
        <f>"21"</f>
        <v>21</v>
      </c>
      <c r="E80" t="str">
        <f>"102-4-21"</f>
        <v>102-4-21</v>
      </c>
      <c r="F80" t="s">
        <v>27</v>
      </c>
      <c r="G80" t="s">
        <v>28</v>
      </c>
      <c r="H80">
        <v>1</v>
      </c>
      <c r="Q80">
        <v>0</v>
      </c>
      <c r="R80">
        <v>1</v>
      </c>
      <c r="S80">
        <v>0</v>
      </c>
      <c r="T80">
        <v>1</v>
      </c>
      <c r="U80">
        <v>1</v>
      </c>
      <c r="V80">
        <v>0</v>
      </c>
    </row>
    <row r="81" spans="1:26" x14ac:dyDescent="0.25">
      <c r="A81" t="str">
        <f>"77"</f>
        <v>77</v>
      </c>
      <c r="B81" t="str">
        <f t="shared" si="4"/>
        <v>102</v>
      </c>
      <c r="C81" t="str">
        <f t="shared" si="5"/>
        <v>4</v>
      </c>
      <c r="D81" t="str">
        <f>"11"</f>
        <v>11</v>
      </c>
      <c r="E81" t="str">
        <f>"102-4-11"</f>
        <v>102-4-11</v>
      </c>
      <c r="F81" t="s">
        <v>27</v>
      </c>
      <c r="G81" t="s">
        <v>28</v>
      </c>
      <c r="H81">
        <v>1</v>
      </c>
      <c r="Q81">
        <v>1</v>
      </c>
      <c r="R81">
        <v>0</v>
      </c>
      <c r="S81">
        <v>1</v>
      </c>
      <c r="T81">
        <v>0</v>
      </c>
      <c r="U81">
        <v>0</v>
      </c>
      <c r="V81">
        <v>1</v>
      </c>
    </row>
    <row r="82" spans="1:26" x14ac:dyDescent="0.25">
      <c r="A82" t="str">
        <f>"78"</f>
        <v>78</v>
      </c>
      <c r="B82" t="str">
        <f t="shared" si="4"/>
        <v>102</v>
      </c>
      <c r="C82" t="str">
        <f t="shared" si="5"/>
        <v>4</v>
      </c>
      <c r="D82" t="str">
        <f>"2"</f>
        <v>2</v>
      </c>
      <c r="E82" t="str">
        <f>"102-4-2"</f>
        <v>102-4-2</v>
      </c>
      <c r="F82" t="s">
        <v>27</v>
      </c>
      <c r="G82" t="s">
        <v>28</v>
      </c>
      <c r="H82">
        <v>1</v>
      </c>
      <c r="Q82">
        <v>0</v>
      </c>
      <c r="R82">
        <v>1</v>
      </c>
      <c r="S82">
        <v>0</v>
      </c>
      <c r="T82">
        <v>1</v>
      </c>
      <c r="U82">
        <v>0</v>
      </c>
      <c r="V82">
        <v>1</v>
      </c>
    </row>
    <row r="83" spans="1:26" x14ac:dyDescent="0.25">
      <c r="A83" t="str">
        <f>"79"</f>
        <v>79</v>
      </c>
      <c r="B83" t="str">
        <f t="shared" si="4"/>
        <v>102</v>
      </c>
      <c r="C83" t="str">
        <f t="shared" si="5"/>
        <v>4</v>
      </c>
      <c r="D83" t="str">
        <f>"24"</f>
        <v>24</v>
      </c>
      <c r="E83" t="str">
        <f>"102-4-24"</f>
        <v>102-4-24</v>
      </c>
      <c r="F83" t="s">
        <v>27</v>
      </c>
      <c r="G83" t="s">
        <v>28</v>
      </c>
      <c r="H83">
        <v>1</v>
      </c>
      <c r="Q83">
        <v>0</v>
      </c>
      <c r="R83">
        <v>1</v>
      </c>
      <c r="S83">
        <v>0</v>
      </c>
      <c r="T83">
        <v>1</v>
      </c>
      <c r="U83">
        <v>1</v>
      </c>
      <c r="V83">
        <v>0</v>
      </c>
    </row>
    <row r="84" spans="1:26" x14ac:dyDescent="0.25">
      <c r="A84" t="str">
        <f>"80"</f>
        <v>80</v>
      </c>
      <c r="B84" t="str">
        <f t="shared" si="4"/>
        <v>102</v>
      </c>
      <c r="C84" t="str">
        <f t="shared" si="5"/>
        <v>4</v>
      </c>
      <c r="D84" t="str">
        <f>"12"</f>
        <v>12</v>
      </c>
      <c r="E84" t="str">
        <f>"102-4-12"</f>
        <v>102-4-12</v>
      </c>
      <c r="F84" t="s">
        <v>27</v>
      </c>
      <c r="G84" t="s">
        <v>28</v>
      </c>
      <c r="H84">
        <v>1</v>
      </c>
      <c r="Q84">
        <v>1</v>
      </c>
      <c r="R84">
        <v>0</v>
      </c>
      <c r="S84">
        <v>1</v>
      </c>
      <c r="T84">
        <v>0</v>
      </c>
      <c r="U84">
        <v>0</v>
      </c>
      <c r="V84">
        <v>1</v>
      </c>
    </row>
    <row r="85" spans="1:26" x14ac:dyDescent="0.25">
      <c r="A85" t="str">
        <f>"81"</f>
        <v>81</v>
      </c>
      <c r="B85" t="str">
        <f t="shared" si="4"/>
        <v>102</v>
      </c>
      <c r="C85" t="str">
        <f t="shared" si="5"/>
        <v>4</v>
      </c>
      <c r="D85" t="str">
        <f>"1"</f>
        <v>1</v>
      </c>
      <c r="E85" t="str">
        <f>"102-4-1"</f>
        <v>102-4-1</v>
      </c>
      <c r="F85" t="s">
        <v>27</v>
      </c>
      <c r="G85" t="s">
        <v>29</v>
      </c>
      <c r="H85">
        <v>3</v>
      </c>
      <c r="M85">
        <v>1</v>
      </c>
      <c r="N85">
        <v>0</v>
      </c>
      <c r="O85">
        <v>1</v>
      </c>
      <c r="P85">
        <v>1</v>
      </c>
      <c r="Q85">
        <v>0</v>
      </c>
      <c r="R85">
        <v>1</v>
      </c>
      <c r="S85">
        <v>0</v>
      </c>
      <c r="T85">
        <v>1</v>
      </c>
      <c r="U85">
        <v>0</v>
      </c>
      <c r="V85">
        <v>1</v>
      </c>
      <c r="Y85">
        <v>1</v>
      </c>
      <c r="Z85">
        <v>0</v>
      </c>
    </row>
    <row r="86" spans="1:26" x14ac:dyDescent="0.25">
      <c r="A86" t="str">
        <f>"82"</f>
        <v>82</v>
      </c>
      <c r="B86" t="str">
        <f t="shared" si="4"/>
        <v>102</v>
      </c>
      <c r="C86" t="str">
        <f t="shared" si="5"/>
        <v>4</v>
      </c>
      <c r="D86" t="str">
        <f>"25"</f>
        <v>25</v>
      </c>
      <c r="E86" t="str">
        <f>"102-4-25"</f>
        <v>102-4-25</v>
      </c>
      <c r="F86" t="s">
        <v>27</v>
      </c>
      <c r="G86" t="s">
        <v>28</v>
      </c>
      <c r="H86">
        <v>1</v>
      </c>
      <c r="Q86">
        <v>1</v>
      </c>
      <c r="R86">
        <v>0</v>
      </c>
      <c r="S86">
        <v>1</v>
      </c>
      <c r="T86">
        <v>0</v>
      </c>
      <c r="U86">
        <v>0</v>
      </c>
      <c r="V86">
        <v>1</v>
      </c>
    </row>
    <row r="87" spans="1:26" x14ac:dyDescent="0.25">
      <c r="A87" t="str">
        <f>"83"</f>
        <v>83</v>
      </c>
      <c r="B87" t="str">
        <f t="shared" si="4"/>
        <v>102</v>
      </c>
      <c r="C87" t="str">
        <f t="shared" si="5"/>
        <v>4</v>
      </c>
      <c r="D87" t="str">
        <f>"13"</f>
        <v>13</v>
      </c>
      <c r="E87" t="str">
        <f>"102-4-13"</f>
        <v>102-4-13</v>
      </c>
      <c r="F87" t="s">
        <v>27</v>
      </c>
      <c r="G87" t="s">
        <v>28</v>
      </c>
      <c r="H87">
        <v>1</v>
      </c>
      <c r="Q87">
        <v>1</v>
      </c>
      <c r="R87">
        <v>0</v>
      </c>
      <c r="S87">
        <v>1</v>
      </c>
      <c r="T87">
        <v>0</v>
      </c>
      <c r="U87">
        <v>1</v>
      </c>
      <c r="V87">
        <v>0</v>
      </c>
    </row>
    <row r="88" spans="1:26" x14ac:dyDescent="0.25">
      <c r="A88" t="str">
        <f>"84"</f>
        <v>84</v>
      </c>
      <c r="B88" t="str">
        <f t="shared" si="4"/>
        <v>102</v>
      </c>
      <c r="C88" t="str">
        <f t="shared" si="5"/>
        <v>4</v>
      </c>
      <c r="D88" t="str">
        <f>"7"</f>
        <v>7</v>
      </c>
      <c r="E88" t="str">
        <f>"102-4-7"</f>
        <v>102-4-7</v>
      </c>
      <c r="F88" t="s">
        <v>27</v>
      </c>
      <c r="G88" t="s">
        <v>28</v>
      </c>
      <c r="H88">
        <v>1</v>
      </c>
      <c r="Q88">
        <v>0</v>
      </c>
      <c r="R88">
        <v>1</v>
      </c>
      <c r="S88">
        <v>0</v>
      </c>
      <c r="T88">
        <v>1</v>
      </c>
      <c r="U88">
        <v>0</v>
      </c>
      <c r="V88">
        <v>1</v>
      </c>
    </row>
    <row r="89" spans="1:26" x14ac:dyDescent="0.25">
      <c r="A89" t="str">
        <f>"85"</f>
        <v>85</v>
      </c>
      <c r="B89" t="str">
        <f t="shared" si="4"/>
        <v>102</v>
      </c>
      <c r="C89" t="str">
        <f t="shared" si="5"/>
        <v>4</v>
      </c>
      <c r="D89" t="str">
        <f>"14"</f>
        <v>14</v>
      </c>
      <c r="E89" t="str">
        <f>"102-4-14"</f>
        <v>102-4-14</v>
      </c>
      <c r="F89" t="s">
        <v>27</v>
      </c>
      <c r="G89" t="s">
        <v>28</v>
      </c>
      <c r="H89">
        <v>1</v>
      </c>
      <c r="Q89">
        <v>1</v>
      </c>
      <c r="R89">
        <v>0</v>
      </c>
      <c r="S89">
        <v>1</v>
      </c>
      <c r="T89">
        <v>0</v>
      </c>
      <c r="U89">
        <v>1</v>
      </c>
      <c r="V89">
        <v>0</v>
      </c>
    </row>
    <row r="90" spans="1:26" x14ac:dyDescent="0.25">
      <c r="A90" t="str">
        <f>"86"</f>
        <v>86</v>
      </c>
      <c r="B90" t="str">
        <f t="shared" si="4"/>
        <v>102</v>
      </c>
      <c r="C90" t="str">
        <f t="shared" si="5"/>
        <v>4</v>
      </c>
      <c r="D90" t="str">
        <f>"6"</f>
        <v>6</v>
      </c>
      <c r="E90" t="str">
        <f>"102-4-6"</f>
        <v>102-4-6</v>
      </c>
      <c r="F90" t="s">
        <v>27</v>
      </c>
      <c r="G90" t="s">
        <v>28</v>
      </c>
      <c r="H90">
        <v>1</v>
      </c>
      <c r="Q90">
        <v>1</v>
      </c>
      <c r="R90">
        <v>0</v>
      </c>
      <c r="S90">
        <v>1</v>
      </c>
      <c r="T90">
        <v>0</v>
      </c>
      <c r="U90">
        <v>1</v>
      </c>
      <c r="V90">
        <v>0</v>
      </c>
    </row>
    <row r="91" spans="1:26" x14ac:dyDescent="0.25">
      <c r="A91" t="str">
        <f>"87"</f>
        <v>87</v>
      </c>
      <c r="B91" t="str">
        <f t="shared" si="4"/>
        <v>102</v>
      </c>
      <c r="C91" t="str">
        <f t="shared" si="5"/>
        <v>4</v>
      </c>
      <c r="D91" t="str">
        <f>"15"</f>
        <v>15</v>
      </c>
      <c r="E91" t="str">
        <f>"102-4-15"</f>
        <v>102-4-15</v>
      </c>
      <c r="F91" t="s">
        <v>27</v>
      </c>
      <c r="G91" t="s">
        <v>28</v>
      </c>
      <c r="H91">
        <v>1</v>
      </c>
      <c r="Q91">
        <v>0</v>
      </c>
      <c r="R91">
        <v>1</v>
      </c>
      <c r="S91">
        <v>0</v>
      </c>
      <c r="T91">
        <v>1</v>
      </c>
      <c r="U91">
        <v>0</v>
      </c>
      <c r="V91">
        <v>1</v>
      </c>
    </row>
    <row r="92" spans="1:26" x14ac:dyDescent="0.25">
      <c r="A92" t="str">
        <f>"88"</f>
        <v>88</v>
      </c>
      <c r="B92" t="str">
        <f t="shared" si="4"/>
        <v>102</v>
      </c>
      <c r="C92" t="str">
        <f t="shared" si="5"/>
        <v>4</v>
      </c>
      <c r="D92" t="str">
        <f>"3"</f>
        <v>3</v>
      </c>
      <c r="E92" t="str">
        <f>"102-4-3"</f>
        <v>102-4-3</v>
      </c>
      <c r="F92" t="s">
        <v>27</v>
      </c>
      <c r="G92" t="s">
        <v>28</v>
      </c>
      <c r="H92">
        <v>1</v>
      </c>
      <c r="Q92">
        <v>1</v>
      </c>
      <c r="R92">
        <v>0</v>
      </c>
      <c r="S92">
        <v>1</v>
      </c>
      <c r="T92">
        <v>0</v>
      </c>
      <c r="U92">
        <v>0</v>
      </c>
      <c r="V92">
        <v>1</v>
      </c>
    </row>
    <row r="93" spans="1:26" x14ac:dyDescent="0.25">
      <c r="A93" t="str">
        <f>"89"</f>
        <v>89</v>
      </c>
      <c r="B93" t="str">
        <f t="shared" si="4"/>
        <v>102</v>
      </c>
      <c r="C93" t="str">
        <f t="shared" si="5"/>
        <v>4</v>
      </c>
      <c r="D93" t="str">
        <f>"16"</f>
        <v>16</v>
      </c>
      <c r="E93" t="str">
        <f>"102-4-16"</f>
        <v>102-4-16</v>
      </c>
      <c r="F93" t="s">
        <v>27</v>
      </c>
      <c r="G93" t="s">
        <v>28</v>
      </c>
      <c r="H93">
        <v>1</v>
      </c>
      <c r="Q93">
        <v>0</v>
      </c>
      <c r="R93">
        <v>1</v>
      </c>
      <c r="S93">
        <v>0</v>
      </c>
      <c r="T93">
        <v>1</v>
      </c>
      <c r="U93">
        <v>0</v>
      </c>
      <c r="V93">
        <v>1</v>
      </c>
    </row>
    <row r="94" spans="1:26" x14ac:dyDescent="0.25">
      <c r="A94" t="str">
        <f>"90"</f>
        <v>90</v>
      </c>
      <c r="B94" t="str">
        <f t="shared" si="4"/>
        <v>102</v>
      </c>
      <c r="C94" t="str">
        <f t="shared" si="5"/>
        <v>4</v>
      </c>
      <c r="D94" t="str">
        <f>"5"</f>
        <v>5</v>
      </c>
      <c r="E94" t="str">
        <f>"102-4-5"</f>
        <v>102-4-5</v>
      </c>
      <c r="F94" t="s">
        <v>27</v>
      </c>
      <c r="G94" t="s">
        <v>28</v>
      </c>
      <c r="H94">
        <v>1</v>
      </c>
      <c r="Q94">
        <v>1</v>
      </c>
      <c r="R94">
        <v>0</v>
      </c>
      <c r="S94">
        <v>1</v>
      </c>
      <c r="T94">
        <v>0</v>
      </c>
      <c r="U94">
        <v>0</v>
      </c>
      <c r="V94">
        <v>1</v>
      </c>
    </row>
    <row r="95" spans="1:26" x14ac:dyDescent="0.25">
      <c r="A95" t="str">
        <f>"91"</f>
        <v>91</v>
      </c>
      <c r="B95" t="str">
        <f t="shared" si="4"/>
        <v>102</v>
      </c>
      <c r="C95" t="str">
        <f t="shared" si="5"/>
        <v>4</v>
      </c>
      <c r="D95" t="str">
        <f>"22"</f>
        <v>22</v>
      </c>
      <c r="E95" t="str">
        <f>"102-4-22"</f>
        <v>102-4-22</v>
      </c>
      <c r="F95" t="s">
        <v>27</v>
      </c>
      <c r="G95" t="s">
        <v>28</v>
      </c>
      <c r="H95">
        <v>1</v>
      </c>
      <c r="Q95">
        <v>0</v>
      </c>
      <c r="R95">
        <v>1</v>
      </c>
      <c r="S95">
        <v>0</v>
      </c>
      <c r="T95">
        <v>1</v>
      </c>
      <c r="U95">
        <v>1</v>
      </c>
      <c r="V95">
        <v>0</v>
      </c>
    </row>
    <row r="96" spans="1:26" x14ac:dyDescent="0.25">
      <c r="A96" t="str">
        <f>"92"</f>
        <v>92</v>
      </c>
      <c r="B96" t="str">
        <f t="shared" si="4"/>
        <v>102</v>
      </c>
      <c r="C96" t="str">
        <f t="shared" si="5"/>
        <v>4</v>
      </c>
      <c r="D96" t="str">
        <f>"17"</f>
        <v>17</v>
      </c>
      <c r="E96" t="str">
        <f>"102-4-17"</f>
        <v>102-4-17</v>
      </c>
      <c r="F96" t="s">
        <v>27</v>
      </c>
      <c r="G96" t="s">
        <v>28</v>
      </c>
      <c r="H96">
        <v>1</v>
      </c>
      <c r="Q96">
        <v>1</v>
      </c>
      <c r="R96">
        <v>0</v>
      </c>
      <c r="S96">
        <v>1</v>
      </c>
      <c r="T96">
        <v>0</v>
      </c>
      <c r="U96">
        <v>0</v>
      </c>
      <c r="V96">
        <v>0</v>
      </c>
    </row>
    <row r="97" spans="1:24" x14ac:dyDescent="0.25">
      <c r="A97" t="str">
        <f>"93"</f>
        <v>93</v>
      </c>
      <c r="B97" t="str">
        <f t="shared" si="4"/>
        <v>102</v>
      </c>
      <c r="C97" t="str">
        <f t="shared" si="5"/>
        <v>4</v>
      </c>
      <c r="D97" t="str">
        <f>"9"</f>
        <v>9</v>
      </c>
      <c r="E97" t="str">
        <f>"102-4-9"</f>
        <v>102-4-9</v>
      </c>
      <c r="F97" t="s">
        <v>27</v>
      </c>
      <c r="G97" t="s">
        <v>28</v>
      </c>
      <c r="H97">
        <v>1</v>
      </c>
      <c r="Q97">
        <v>1</v>
      </c>
      <c r="R97">
        <v>0</v>
      </c>
      <c r="S97">
        <v>1</v>
      </c>
      <c r="T97">
        <v>0</v>
      </c>
      <c r="U97">
        <v>1</v>
      </c>
      <c r="V97">
        <v>0</v>
      </c>
    </row>
    <row r="98" spans="1:24" x14ac:dyDescent="0.25">
      <c r="A98" t="str">
        <f>"94"</f>
        <v>94</v>
      </c>
      <c r="B98" t="str">
        <f t="shared" si="4"/>
        <v>102</v>
      </c>
      <c r="C98" t="str">
        <f t="shared" si="5"/>
        <v>4</v>
      </c>
      <c r="D98" t="str">
        <f>"18"</f>
        <v>18</v>
      </c>
      <c r="E98" t="str">
        <f>"102-4-18"</f>
        <v>102-4-18</v>
      </c>
      <c r="F98" t="s">
        <v>27</v>
      </c>
      <c r="G98" t="s">
        <v>28</v>
      </c>
      <c r="H98">
        <v>1</v>
      </c>
      <c r="Q98">
        <v>0</v>
      </c>
      <c r="R98">
        <v>1</v>
      </c>
      <c r="S98">
        <v>0</v>
      </c>
      <c r="T98">
        <v>1</v>
      </c>
      <c r="U98">
        <v>0</v>
      </c>
      <c r="V98">
        <v>1</v>
      </c>
    </row>
    <row r="99" spans="1:24" x14ac:dyDescent="0.25">
      <c r="A99" t="str">
        <f>"95"</f>
        <v>95</v>
      </c>
      <c r="B99" t="str">
        <f t="shared" si="4"/>
        <v>102</v>
      </c>
      <c r="C99" t="str">
        <f t="shared" si="5"/>
        <v>4</v>
      </c>
      <c r="D99" t="str">
        <f>"4"</f>
        <v>4</v>
      </c>
      <c r="E99" t="str">
        <f>"102-4-4"</f>
        <v>102-4-4</v>
      </c>
      <c r="F99" t="s">
        <v>27</v>
      </c>
      <c r="G99" t="s">
        <v>28</v>
      </c>
      <c r="H99">
        <v>1</v>
      </c>
      <c r="Q99">
        <v>1</v>
      </c>
      <c r="R99">
        <v>0</v>
      </c>
      <c r="S99">
        <v>0</v>
      </c>
      <c r="T99">
        <v>1</v>
      </c>
      <c r="U99">
        <v>0</v>
      </c>
      <c r="V99">
        <v>1</v>
      </c>
    </row>
    <row r="100" spans="1:24" x14ac:dyDescent="0.25">
      <c r="A100" t="str">
        <f>"96"</f>
        <v>96</v>
      </c>
      <c r="B100" t="str">
        <f t="shared" si="4"/>
        <v>102</v>
      </c>
      <c r="C100" t="str">
        <f t="shared" si="5"/>
        <v>4</v>
      </c>
      <c r="D100" t="str">
        <f>"23"</f>
        <v>23</v>
      </c>
      <c r="E100" t="str">
        <f>"102-4-23"</f>
        <v>102-4-23</v>
      </c>
      <c r="F100" t="s">
        <v>27</v>
      </c>
      <c r="G100" t="s">
        <v>28</v>
      </c>
      <c r="H100">
        <v>1</v>
      </c>
      <c r="Q100">
        <v>1</v>
      </c>
      <c r="R100">
        <v>0</v>
      </c>
      <c r="S100">
        <v>1</v>
      </c>
      <c r="T100">
        <v>0</v>
      </c>
      <c r="U100">
        <v>0</v>
      </c>
      <c r="V100">
        <v>1</v>
      </c>
    </row>
    <row r="101" spans="1:24" x14ac:dyDescent="0.25">
      <c r="A101" t="str">
        <f>"97"</f>
        <v>97</v>
      </c>
      <c r="B101" t="str">
        <f t="shared" si="4"/>
        <v>102</v>
      </c>
      <c r="C101" t="str">
        <f t="shared" si="5"/>
        <v>4</v>
      </c>
      <c r="D101" t="str">
        <f>"19"</f>
        <v>19</v>
      </c>
      <c r="E101" t="str">
        <f>"102-4-19"</f>
        <v>102-4-19</v>
      </c>
      <c r="F101" t="s">
        <v>27</v>
      </c>
      <c r="G101" t="s">
        <v>28</v>
      </c>
      <c r="H101">
        <v>1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1</v>
      </c>
    </row>
    <row r="102" spans="1:24" x14ac:dyDescent="0.25">
      <c r="A102" t="str">
        <f>"98"</f>
        <v>98</v>
      </c>
      <c r="B102" t="str">
        <f t="shared" si="4"/>
        <v>102</v>
      </c>
      <c r="C102" t="str">
        <f t="shared" si="5"/>
        <v>4</v>
      </c>
      <c r="D102" t="str">
        <f>"10"</f>
        <v>10</v>
      </c>
      <c r="E102" t="str">
        <f>"102-4-10"</f>
        <v>102-4-10</v>
      </c>
      <c r="F102" t="s">
        <v>27</v>
      </c>
      <c r="G102" t="s">
        <v>28</v>
      </c>
      <c r="H102">
        <v>1</v>
      </c>
      <c r="Q102">
        <v>1</v>
      </c>
      <c r="R102">
        <v>0</v>
      </c>
      <c r="S102">
        <v>1</v>
      </c>
      <c r="T102">
        <v>0</v>
      </c>
      <c r="U102">
        <v>0</v>
      </c>
      <c r="V102">
        <v>1</v>
      </c>
    </row>
    <row r="103" spans="1:24" x14ac:dyDescent="0.25">
      <c r="A103" t="str">
        <f>"99"</f>
        <v>99</v>
      </c>
      <c r="B103" t="str">
        <f t="shared" si="4"/>
        <v>102</v>
      </c>
      <c r="C103" t="str">
        <f t="shared" si="5"/>
        <v>4</v>
      </c>
      <c r="D103" t="str">
        <f>"20"</f>
        <v>20</v>
      </c>
      <c r="E103" t="str">
        <f>"102-4-20"</f>
        <v>102-4-20</v>
      </c>
      <c r="F103" t="s">
        <v>27</v>
      </c>
      <c r="G103" t="s">
        <v>28</v>
      </c>
      <c r="H103">
        <v>1</v>
      </c>
      <c r="Q103">
        <v>0</v>
      </c>
      <c r="R103">
        <v>1</v>
      </c>
      <c r="S103">
        <v>0</v>
      </c>
      <c r="T103">
        <v>1</v>
      </c>
      <c r="U103">
        <v>1</v>
      </c>
      <c r="V103">
        <v>0</v>
      </c>
    </row>
    <row r="104" spans="1:24" x14ac:dyDescent="0.25">
      <c r="A104" t="str">
        <f>"100"</f>
        <v>100</v>
      </c>
      <c r="B104" t="str">
        <f t="shared" si="4"/>
        <v>102</v>
      </c>
      <c r="C104" t="str">
        <f t="shared" si="5"/>
        <v>4</v>
      </c>
      <c r="D104" t="str">
        <f>"8"</f>
        <v>8</v>
      </c>
      <c r="E104" t="str">
        <f>"102-4-8"</f>
        <v>102-4-8</v>
      </c>
      <c r="F104" t="s">
        <v>27</v>
      </c>
      <c r="G104" t="s">
        <v>30</v>
      </c>
      <c r="H104">
        <v>2</v>
      </c>
      <c r="I104">
        <v>0</v>
      </c>
      <c r="J104">
        <v>0</v>
      </c>
      <c r="K104">
        <v>0</v>
      </c>
      <c r="L104">
        <v>1</v>
      </c>
      <c r="Q104">
        <v>0</v>
      </c>
      <c r="R104">
        <v>1</v>
      </c>
      <c r="S104">
        <v>0</v>
      </c>
      <c r="T104">
        <v>1</v>
      </c>
      <c r="U104">
        <v>1</v>
      </c>
      <c r="V104">
        <v>0</v>
      </c>
      <c r="W104">
        <v>0</v>
      </c>
      <c r="X104">
        <v>1</v>
      </c>
    </row>
    <row r="105" spans="1:24" x14ac:dyDescent="0.25">
      <c r="A105" t="str">
        <f>"101"</f>
        <v>101</v>
      </c>
      <c r="B105" t="str">
        <f t="shared" si="4"/>
        <v>102</v>
      </c>
      <c r="C105" t="str">
        <f t="shared" ref="C105:C129" si="6">"5"</f>
        <v>5</v>
      </c>
      <c r="D105" t="str">
        <f>"11"</f>
        <v>11</v>
      </c>
      <c r="E105" t="str">
        <f>"102-5-11"</f>
        <v>102-5-11</v>
      </c>
      <c r="F105" t="s">
        <v>27</v>
      </c>
      <c r="G105" t="s">
        <v>30</v>
      </c>
      <c r="H105">
        <v>2</v>
      </c>
      <c r="I105">
        <v>0</v>
      </c>
      <c r="J105">
        <v>0</v>
      </c>
      <c r="K105">
        <v>0</v>
      </c>
      <c r="L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1</v>
      </c>
      <c r="W105">
        <v>0</v>
      </c>
      <c r="X105">
        <v>1</v>
      </c>
    </row>
    <row r="106" spans="1:24" x14ac:dyDescent="0.25">
      <c r="A106" t="str">
        <f>"102"</f>
        <v>102</v>
      </c>
      <c r="B106" t="str">
        <f t="shared" si="4"/>
        <v>102</v>
      </c>
      <c r="C106" t="str">
        <f t="shared" si="6"/>
        <v>5</v>
      </c>
      <c r="D106" t="str">
        <f>"1"</f>
        <v>1</v>
      </c>
      <c r="E106" t="str">
        <f>"102-5-1"</f>
        <v>102-5-1</v>
      </c>
      <c r="F106" t="s">
        <v>27</v>
      </c>
      <c r="G106" t="s">
        <v>28</v>
      </c>
      <c r="H106">
        <v>1</v>
      </c>
      <c r="Q106">
        <v>1</v>
      </c>
      <c r="R106">
        <v>0</v>
      </c>
      <c r="S106">
        <v>1</v>
      </c>
      <c r="T106">
        <v>0</v>
      </c>
      <c r="U106">
        <v>0</v>
      </c>
      <c r="V106">
        <v>1</v>
      </c>
    </row>
    <row r="107" spans="1:24" x14ac:dyDescent="0.25">
      <c r="A107" t="str">
        <f>"103"</f>
        <v>103</v>
      </c>
      <c r="B107" t="str">
        <f t="shared" si="4"/>
        <v>102</v>
      </c>
      <c r="C107" t="str">
        <f t="shared" si="6"/>
        <v>5</v>
      </c>
      <c r="D107" t="str">
        <f>"22"</f>
        <v>22</v>
      </c>
      <c r="E107" t="str">
        <f>"102-5-22"</f>
        <v>102-5-22</v>
      </c>
      <c r="F107" t="s">
        <v>27</v>
      </c>
      <c r="G107" t="s">
        <v>28</v>
      </c>
      <c r="H107">
        <v>1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1</v>
      </c>
    </row>
    <row r="108" spans="1:24" x14ac:dyDescent="0.25">
      <c r="A108" t="str">
        <f>"104"</f>
        <v>104</v>
      </c>
      <c r="B108" t="str">
        <f t="shared" si="4"/>
        <v>102</v>
      </c>
      <c r="C108" t="str">
        <f t="shared" si="6"/>
        <v>5</v>
      </c>
      <c r="D108" t="str">
        <f>"12"</f>
        <v>12</v>
      </c>
      <c r="E108" t="str">
        <f>"102-5-12"</f>
        <v>102-5-12</v>
      </c>
      <c r="F108" t="s">
        <v>27</v>
      </c>
      <c r="G108" t="s">
        <v>28</v>
      </c>
      <c r="H108">
        <v>1</v>
      </c>
      <c r="Q108">
        <v>1</v>
      </c>
      <c r="R108">
        <v>0</v>
      </c>
      <c r="S108">
        <v>1</v>
      </c>
      <c r="T108">
        <v>0</v>
      </c>
      <c r="U108">
        <v>0</v>
      </c>
      <c r="V108">
        <v>1</v>
      </c>
    </row>
    <row r="109" spans="1:24" x14ac:dyDescent="0.25">
      <c r="A109" t="str">
        <f>"105"</f>
        <v>105</v>
      </c>
      <c r="B109" t="str">
        <f t="shared" si="4"/>
        <v>102</v>
      </c>
      <c r="C109" t="str">
        <f t="shared" si="6"/>
        <v>5</v>
      </c>
      <c r="D109" t="str">
        <f>"6"</f>
        <v>6</v>
      </c>
      <c r="E109" t="str">
        <f>"102-5-6"</f>
        <v>102-5-6</v>
      </c>
      <c r="F109" t="s">
        <v>27</v>
      </c>
      <c r="G109" t="s">
        <v>28</v>
      </c>
      <c r="H109">
        <v>1</v>
      </c>
      <c r="Q109">
        <v>0</v>
      </c>
      <c r="R109">
        <v>1</v>
      </c>
      <c r="S109">
        <v>0</v>
      </c>
      <c r="T109">
        <v>1</v>
      </c>
      <c r="U109">
        <v>0</v>
      </c>
      <c r="V109">
        <v>1</v>
      </c>
    </row>
    <row r="110" spans="1:24" x14ac:dyDescent="0.25">
      <c r="A110" t="str">
        <f>"106"</f>
        <v>106</v>
      </c>
      <c r="B110" t="str">
        <f t="shared" si="4"/>
        <v>102</v>
      </c>
      <c r="C110" t="str">
        <f t="shared" si="6"/>
        <v>5</v>
      </c>
      <c r="D110" t="str">
        <f>"13"</f>
        <v>13</v>
      </c>
      <c r="E110" t="str">
        <f>"102-5-13"</f>
        <v>102-5-13</v>
      </c>
      <c r="F110" t="s">
        <v>27</v>
      </c>
      <c r="G110" t="s">
        <v>28</v>
      </c>
      <c r="H110">
        <v>1</v>
      </c>
      <c r="Q110">
        <v>0</v>
      </c>
      <c r="R110">
        <v>0</v>
      </c>
      <c r="S110">
        <v>1</v>
      </c>
      <c r="T110">
        <v>0</v>
      </c>
      <c r="U110">
        <v>0</v>
      </c>
      <c r="V110">
        <v>1</v>
      </c>
    </row>
    <row r="111" spans="1:24" x14ac:dyDescent="0.25">
      <c r="A111" t="str">
        <f>"107"</f>
        <v>107</v>
      </c>
      <c r="B111" t="str">
        <f t="shared" si="4"/>
        <v>102</v>
      </c>
      <c r="C111" t="str">
        <f t="shared" si="6"/>
        <v>5</v>
      </c>
      <c r="D111" t="str">
        <f>"4"</f>
        <v>4</v>
      </c>
      <c r="E111" t="str">
        <f>"102-5-4"</f>
        <v>102-5-4</v>
      </c>
      <c r="F111" t="s">
        <v>27</v>
      </c>
      <c r="G111" t="s">
        <v>28</v>
      </c>
      <c r="H111">
        <v>1</v>
      </c>
      <c r="Q111">
        <v>1</v>
      </c>
      <c r="R111">
        <v>0</v>
      </c>
      <c r="S111">
        <v>0</v>
      </c>
      <c r="T111">
        <v>1</v>
      </c>
      <c r="U111">
        <v>0</v>
      </c>
      <c r="V111">
        <v>1</v>
      </c>
    </row>
    <row r="112" spans="1:24" x14ac:dyDescent="0.25">
      <c r="A112" t="str">
        <f>"108"</f>
        <v>108</v>
      </c>
      <c r="B112" t="str">
        <f t="shared" si="4"/>
        <v>102</v>
      </c>
      <c r="C112" t="str">
        <f t="shared" si="6"/>
        <v>5</v>
      </c>
      <c r="D112" t="str">
        <f>"24"</f>
        <v>24</v>
      </c>
      <c r="E112" t="str">
        <f>"102-5-24"</f>
        <v>102-5-24</v>
      </c>
      <c r="F112" t="s">
        <v>27</v>
      </c>
      <c r="G112" t="s">
        <v>30</v>
      </c>
      <c r="H112">
        <v>2</v>
      </c>
      <c r="I112">
        <v>1</v>
      </c>
      <c r="J112">
        <v>0</v>
      </c>
      <c r="K112">
        <v>0</v>
      </c>
      <c r="L112">
        <v>0</v>
      </c>
      <c r="Q112">
        <v>0</v>
      </c>
      <c r="R112">
        <v>1</v>
      </c>
      <c r="S112">
        <v>0</v>
      </c>
      <c r="T112">
        <v>1</v>
      </c>
      <c r="U112">
        <v>0</v>
      </c>
      <c r="V112">
        <v>1</v>
      </c>
      <c r="W112">
        <v>0</v>
      </c>
      <c r="X112">
        <v>1</v>
      </c>
    </row>
    <row r="113" spans="1:22" x14ac:dyDescent="0.25">
      <c r="A113" t="str">
        <f>"109"</f>
        <v>109</v>
      </c>
      <c r="B113" t="str">
        <f t="shared" si="4"/>
        <v>102</v>
      </c>
      <c r="C113" t="str">
        <f t="shared" si="6"/>
        <v>5</v>
      </c>
      <c r="D113" t="str">
        <f>"14"</f>
        <v>14</v>
      </c>
      <c r="E113" t="str">
        <f>"102-5-14"</f>
        <v>102-5-14</v>
      </c>
      <c r="F113" t="s">
        <v>27</v>
      </c>
      <c r="G113" t="s">
        <v>28</v>
      </c>
      <c r="H113">
        <v>1</v>
      </c>
      <c r="Q113">
        <v>0</v>
      </c>
      <c r="R113">
        <v>1</v>
      </c>
      <c r="S113">
        <v>0</v>
      </c>
      <c r="T113">
        <v>1</v>
      </c>
      <c r="U113">
        <v>0</v>
      </c>
      <c r="V113">
        <v>1</v>
      </c>
    </row>
    <row r="114" spans="1:22" x14ac:dyDescent="0.25">
      <c r="A114" t="str">
        <f>"110"</f>
        <v>110</v>
      </c>
      <c r="B114" t="str">
        <f t="shared" si="4"/>
        <v>102</v>
      </c>
      <c r="C114" t="str">
        <f t="shared" si="6"/>
        <v>5</v>
      </c>
      <c r="D114" t="str">
        <f>"8"</f>
        <v>8</v>
      </c>
      <c r="E114" t="str">
        <f>"102-5-8"</f>
        <v>102-5-8</v>
      </c>
      <c r="F114" t="s">
        <v>27</v>
      </c>
      <c r="G114" t="s">
        <v>28</v>
      </c>
      <c r="H114">
        <v>1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1</v>
      </c>
    </row>
    <row r="115" spans="1:22" x14ac:dyDescent="0.25">
      <c r="A115" t="str">
        <f>"111"</f>
        <v>111</v>
      </c>
      <c r="B115" t="str">
        <f t="shared" si="4"/>
        <v>102</v>
      </c>
      <c r="C115" t="str">
        <f t="shared" si="6"/>
        <v>5</v>
      </c>
      <c r="D115" t="str">
        <f>"25"</f>
        <v>25</v>
      </c>
      <c r="E115" t="str">
        <f>"102-5-25"</f>
        <v>102-5-25</v>
      </c>
      <c r="F115" t="s">
        <v>27</v>
      </c>
      <c r="G115" t="s">
        <v>28</v>
      </c>
      <c r="H115">
        <v>1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1</v>
      </c>
    </row>
    <row r="116" spans="1:22" x14ac:dyDescent="0.25">
      <c r="A116" t="str">
        <f>"112"</f>
        <v>112</v>
      </c>
      <c r="B116" t="str">
        <f t="shared" si="4"/>
        <v>102</v>
      </c>
      <c r="C116" t="str">
        <f t="shared" si="6"/>
        <v>5</v>
      </c>
      <c r="D116" t="str">
        <f>"15"</f>
        <v>15</v>
      </c>
      <c r="E116" t="str">
        <f>"102-5-15"</f>
        <v>102-5-15</v>
      </c>
      <c r="F116" t="s">
        <v>27</v>
      </c>
      <c r="G116" t="s">
        <v>28</v>
      </c>
      <c r="H116">
        <v>1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1</v>
      </c>
    </row>
    <row r="117" spans="1:22" x14ac:dyDescent="0.25">
      <c r="A117" t="str">
        <f>"113"</f>
        <v>113</v>
      </c>
      <c r="B117" t="str">
        <f t="shared" si="4"/>
        <v>102</v>
      </c>
      <c r="C117" t="str">
        <f t="shared" si="6"/>
        <v>5</v>
      </c>
      <c r="D117" t="str">
        <f>"2"</f>
        <v>2</v>
      </c>
      <c r="E117" t="str">
        <f>"102-5-2"</f>
        <v>102-5-2</v>
      </c>
      <c r="F117" t="s">
        <v>27</v>
      </c>
      <c r="G117" t="s">
        <v>28</v>
      </c>
      <c r="H117">
        <v>1</v>
      </c>
      <c r="Q117">
        <v>1</v>
      </c>
      <c r="R117">
        <v>0</v>
      </c>
      <c r="S117">
        <v>1</v>
      </c>
      <c r="T117">
        <v>0</v>
      </c>
      <c r="U117">
        <v>0</v>
      </c>
      <c r="V117">
        <v>1</v>
      </c>
    </row>
    <row r="118" spans="1:22" x14ac:dyDescent="0.25">
      <c r="A118" t="str">
        <f>"114"</f>
        <v>114</v>
      </c>
      <c r="B118" t="str">
        <f t="shared" si="4"/>
        <v>102</v>
      </c>
      <c r="C118" t="str">
        <f t="shared" si="6"/>
        <v>5</v>
      </c>
      <c r="D118" t="str">
        <f>"23"</f>
        <v>23</v>
      </c>
      <c r="E118" t="str">
        <f>"102-5-23"</f>
        <v>102-5-23</v>
      </c>
      <c r="F118" t="s">
        <v>27</v>
      </c>
      <c r="G118" t="s">
        <v>28</v>
      </c>
      <c r="H118">
        <v>1</v>
      </c>
      <c r="Q118">
        <v>1</v>
      </c>
      <c r="R118">
        <v>0</v>
      </c>
      <c r="S118">
        <v>1</v>
      </c>
      <c r="T118">
        <v>0</v>
      </c>
      <c r="U118">
        <v>1</v>
      </c>
      <c r="V118">
        <v>0</v>
      </c>
    </row>
    <row r="119" spans="1:22" x14ac:dyDescent="0.25">
      <c r="A119" t="str">
        <f>"115"</f>
        <v>115</v>
      </c>
      <c r="B119" t="str">
        <f t="shared" si="4"/>
        <v>102</v>
      </c>
      <c r="C119" t="str">
        <f t="shared" si="6"/>
        <v>5</v>
      </c>
      <c r="D119" t="str">
        <f>"16"</f>
        <v>16</v>
      </c>
      <c r="E119" t="str">
        <f>"102-5-16"</f>
        <v>102-5-16</v>
      </c>
      <c r="F119" t="s">
        <v>27</v>
      </c>
      <c r="G119" t="s">
        <v>28</v>
      </c>
      <c r="H119">
        <v>1</v>
      </c>
      <c r="Q119">
        <v>1</v>
      </c>
      <c r="R119">
        <v>0</v>
      </c>
      <c r="S119">
        <v>1</v>
      </c>
      <c r="T119">
        <v>0</v>
      </c>
      <c r="U119">
        <v>1</v>
      </c>
      <c r="V119">
        <v>0</v>
      </c>
    </row>
    <row r="120" spans="1:22" x14ac:dyDescent="0.25">
      <c r="A120" t="str">
        <f>"116"</f>
        <v>116</v>
      </c>
      <c r="B120" t="str">
        <f t="shared" si="4"/>
        <v>102</v>
      </c>
      <c r="C120" t="str">
        <f t="shared" si="6"/>
        <v>5</v>
      </c>
      <c r="D120" t="str">
        <f>"9"</f>
        <v>9</v>
      </c>
      <c r="E120" t="str">
        <f>"102-5-9"</f>
        <v>102-5-9</v>
      </c>
      <c r="F120" t="s">
        <v>27</v>
      </c>
      <c r="G120" t="s">
        <v>28</v>
      </c>
      <c r="H120">
        <v>1</v>
      </c>
      <c r="Q120">
        <v>1</v>
      </c>
      <c r="R120">
        <v>0</v>
      </c>
      <c r="S120">
        <v>1</v>
      </c>
      <c r="T120">
        <v>0</v>
      </c>
      <c r="U120">
        <v>1</v>
      </c>
      <c r="V120">
        <v>0</v>
      </c>
    </row>
    <row r="121" spans="1:22" x14ac:dyDescent="0.25">
      <c r="A121" t="str">
        <f>"117"</f>
        <v>117</v>
      </c>
      <c r="B121" t="str">
        <f t="shared" si="4"/>
        <v>102</v>
      </c>
      <c r="C121" t="str">
        <f t="shared" si="6"/>
        <v>5</v>
      </c>
      <c r="D121" t="str">
        <f>"21"</f>
        <v>21</v>
      </c>
      <c r="E121" t="str">
        <f>"102-5-21"</f>
        <v>102-5-21</v>
      </c>
      <c r="F121" t="s">
        <v>27</v>
      </c>
      <c r="G121" t="s">
        <v>28</v>
      </c>
      <c r="H121">
        <v>1</v>
      </c>
      <c r="Q121">
        <v>1</v>
      </c>
      <c r="R121">
        <v>0</v>
      </c>
      <c r="S121">
        <v>1</v>
      </c>
      <c r="T121">
        <v>0</v>
      </c>
      <c r="U121">
        <v>1</v>
      </c>
      <c r="V121">
        <v>0</v>
      </c>
    </row>
    <row r="122" spans="1:22" x14ac:dyDescent="0.25">
      <c r="A122" t="str">
        <f>"118"</f>
        <v>118</v>
      </c>
      <c r="B122" t="str">
        <f t="shared" si="4"/>
        <v>102</v>
      </c>
      <c r="C122" t="str">
        <f t="shared" si="6"/>
        <v>5</v>
      </c>
      <c r="D122" t="str">
        <f>"17"</f>
        <v>17</v>
      </c>
      <c r="E122" t="str">
        <f>"102-5-17"</f>
        <v>102-5-17</v>
      </c>
      <c r="F122" t="s">
        <v>27</v>
      </c>
      <c r="G122" t="s">
        <v>28</v>
      </c>
      <c r="H122">
        <v>1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1</v>
      </c>
    </row>
    <row r="123" spans="1:22" x14ac:dyDescent="0.25">
      <c r="A123" t="str">
        <f>"119"</f>
        <v>119</v>
      </c>
      <c r="B123" t="str">
        <f t="shared" si="4"/>
        <v>102</v>
      </c>
      <c r="C123" t="str">
        <f t="shared" si="6"/>
        <v>5</v>
      </c>
      <c r="D123" t="str">
        <f>"10"</f>
        <v>10</v>
      </c>
      <c r="E123" t="str">
        <f>"102-5-10"</f>
        <v>102-5-10</v>
      </c>
      <c r="F123" t="s">
        <v>27</v>
      </c>
      <c r="G123" t="s">
        <v>28</v>
      </c>
      <c r="H123">
        <v>1</v>
      </c>
      <c r="Q123">
        <v>0</v>
      </c>
      <c r="R123">
        <v>1</v>
      </c>
      <c r="S123">
        <v>0</v>
      </c>
      <c r="T123">
        <v>1</v>
      </c>
      <c r="U123">
        <v>0</v>
      </c>
      <c r="V123">
        <v>1</v>
      </c>
    </row>
    <row r="124" spans="1:22" x14ac:dyDescent="0.25">
      <c r="A124" t="str">
        <f>"120"</f>
        <v>120</v>
      </c>
      <c r="B124" t="str">
        <f t="shared" si="4"/>
        <v>102</v>
      </c>
      <c r="C124" t="str">
        <f t="shared" si="6"/>
        <v>5</v>
      </c>
      <c r="D124" t="str">
        <f>"18"</f>
        <v>18</v>
      </c>
      <c r="E124" t="str">
        <f>"102-5-18"</f>
        <v>102-5-18</v>
      </c>
      <c r="F124" t="s">
        <v>27</v>
      </c>
      <c r="G124" t="s">
        <v>28</v>
      </c>
      <c r="H124">
        <v>1</v>
      </c>
      <c r="Q124">
        <v>0</v>
      </c>
      <c r="R124">
        <v>1</v>
      </c>
      <c r="S124">
        <v>0</v>
      </c>
      <c r="T124">
        <v>1</v>
      </c>
      <c r="U124">
        <v>0</v>
      </c>
      <c r="V124">
        <v>1</v>
      </c>
    </row>
    <row r="125" spans="1:22" x14ac:dyDescent="0.25">
      <c r="A125" t="str">
        <f>"121"</f>
        <v>121</v>
      </c>
      <c r="B125" t="str">
        <f t="shared" si="4"/>
        <v>102</v>
      </c>
      <c r="C125" t="str">
        <f t="shared" si="6"/>
        <v>5</v>
      </c>
      <c r="D125" t="str">
        <f>"7"</f>
        <v>7</v>
      </c>
      <c r="E125" t="str">
        <f>"102-5-7"</f>
        <v>102-5-7</v>
      </c>
      <c r="F125" t="s">
        <v>27</v>
      </c>
      <c r="G125" t="s">
        <v>28</v>
      </c>
      <c r="H125">
        <v>1</v>
      </c>
      <c r="Q125">
        <v>1</v>
      </c>
      <c r="R125">
        <v>0</v>
      </c>
      <c r="S125">
        <v>1</v>
      </c>
      <c r="T125">
        <v>0</v>
      </c>
      <c r="U125">
        <v>1</v>
      </c>
      <c r="V125">
        <v>0</v>
      </c>
    </row>
    <row r="126" spans="1:22" x14ac:dyDescent="0.25">
      <c r="A126" t="str">
        <f>"122"</f>
        <v>122</v>
      </c>
      <c r="B126" t="str">
        <f t="shared" si="4"/>
        <v>102</v>
      </c>
      <c r="C126" t="str">
        <f t="shared" si="6"/>
        <v>5</v>
      </c>
      <c r="D126" t="str">
        <f>"19"</f>
        <v>19</v>
      </c>
      <c r="E126" t="str">
        <f>"102-5-19"</f>
        <v>102-5-19</v>
      </c>
      <c r="F126" t="s">
        <v>27</v>
      </c>
      <c r="G126" t="s">
        <v>28</v>
      </c>
      <c r="H126">
        <v>1</v>
      </c>
      <c r="Q126">
        <v>0</v>
      </c>
      <c r="R126">
        <v>1</v>
      </c>
      <c r="S126">
        <v>0</v>
      </c>
      <c r="T126">
        <v>1</v>
      </c>
      <c r="U126">
        <v>0</v>
      </c>
      <c r="V126">
        <v>1</v>
      </c>
    </row>
    <row r="127" spans="1:22" x14ac:dyDescent="0.25">
      <c r="A127" t="str">
        <f>"123"</f>
        <v>123</v>
      </c>
      <c r="B127" t="str">
        <f t="shared" si="4"/>
        <v>102</v>
      </c>
      <c r="C127" t="str">
        <f t="shared" si="6"/>
        <v>5</v>
      </c>
      <c r="D127" t="str">
        <f>"3"</f>
        <v>3</v>
      </c>
      <c r="E127" t="str">
        <f>"102-5-3"</f>
        <v>102-5-3</v>
      </c>
      <c r="F127" t="s">
        <v>27</v>
      </c>
      <c r="G127" t="s">
        <v>28</v>
      </c>
      <c r="H127">
        <v>1</v>
      </c>
      <c r="Q127">
        <v>0</v>
      </c>
      <c r="R127">
        <v>1</v>
      </c>
      <c r="S127">
        <v>0</v>
      </c>
      <c r="T127">
        <v>1</v>
      </c>
      <c r="U127">
        <v>1</v>
      </c>
      <c r="V127">
        <v>0</v>
      </c>
    </row>
    <row r="128" spans="1:22" x14ac:dyDescent="0.25">
      <c r="A128" t="str">
        <f>"124"</f>
        <v>124</v>
      </c>
      <c r="B128" t="str">
        <f t="shared" si="4"/>
        <v>102</v>
      </c>
      <c r="C128" t="str">
        <f t="shared" si="6"/>
        <v>5</v>
      </c>
      <c r="D128" t="str">
        <f>"20"</f>
        <v>20</v>
      </c>
      <c r="E128" t="str">
        <f>"102-5-20"</f>
        <v>102-5-20</v>
      </c>
      <c r="F128" t="s">
        <v>27</v>
      </c>
      <c r="G128" t="s">
        <v>28</v>
      </c>
      <c r="H128">
        <v>1</v>
      </c>
      <c r="Q128">
        <v>0</v>
      </c>
      <c r="R128">
        <v>1</v>
      </c>
      <c r="S128">
        <v>0</v>
      </c>
      <c r="T128">
        <v>1</v>
      </c>
      <c r="U128">
        <v>0</v>
      </c>
      <c r="V128">
        <v>1</v>
      </c>
    </row>
    <row r="129" spans="1:22" x14ac:dyDescent="0.25">
      <c r="A129" t="str">
        <f>"125"</f>
        <v>125</v>
      </c>
      <c r="B129" t="str">
        <f t="shared" si="4"/>
        <v>102</v>
      </c>
      <c r="C129" t="str">
        <f t="shared" si="6"/>
        <v>5</v>
      </c>
      <c r="D129" t="str">
        <f>"5"</f>
        <v>5</v>
      </c>
      <c r="E129" t="str">
        <f>"102-5-5"</f>
        <v>102-5-5</v>
      </c>
      <c r="F129" t="s">
        <v>27</v>
      </c>
      <c r="G129" t="s">
        <v>28</v>
      </c>
      <c r="H129">
        <v>1</v>
      </c>
      <c r="Q129">
        <v>1</v>
      </c>
      <c r="R129">
        <v>0</v>
      </c>
      <c r="S129">
        <v>1</v>
      </c>
      <c r="T129">
        <v>0</v>
      </c>
      <c r="U129">
        <v>0</v>
      </c>
      <c r="V129">
        <v>1</v>
      </c>
    </row>
    <row r="130" spans="1:22" x14ac:dyDescent="0.25">
      <c r="A130" t="str">
        <f>"126"</f>
        <v>126</v>
      </c>
      <c r="B130" t="str">
        <f t="shared" si="4"/>
        <v>102</v>
      </c>
      <c r="C130" t="str">
        <f t="shared" ref="C130:C154" si="7">"6"</f>
        <v>6</v>
      </c>
      <c r="D130" t="str">
        <f>"21"</f>
        <v>21</v>
      </c>
      <c r="E130" t="str">
        <f>"102-6-21"</f>
        <v>102-6-21</v>
      </c>
      <c r="F130" t="s">
        <v>27</v>
      </c>
      <c r="G130" t="s">
        <v>28</v>
      </c>
      <c r="H130">
        <v>1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1</v>
      </c>
    </row>
    <row r="131" spans="1:22" x14ac:dyDescent="0.25">
      <c r="A131" t="str">
        <f>"127"</f>
        <v>127</v>
      </c>
      <c r="B131" t="str">
        <f t="shared" si="4"/>
        <v>102</v>
      </c>
      <c r="C131" t="str">
        <f t="shared" si="7"/>
        <v>6</v>
      </c>
      <c r="D131" t="str">
        <f>"11"</f>
        <v>11</v>
      </c>
      <c r="E131" t="str">
        <f>"102-6-11"</f>
        <v>102-6-11</v>
      </c>
      <c r="F131" t="s">
        <v>27</v>
      </c>
      <c r="G131" t="s">
        <v>28</v>
      </c>
      <c r="H131">
        <v>1</v>
      </c>
      <c r="Q131">
        <v>1</v>
      </c>
      <c r="R131">
        <v>0</v>
      </c>
      <c r="S131">
        <v>1</v>
      </c>
      <c r="T131">
        <v>0</v>
      </c>
      <c r="U131">
        <v>1</v>
      </c>
      <c r="V131">
        <v>0</v>
      </c>
    </row>
    <row r="132" spans="1:22" x14ac:dyDescent="0.25">
      <c r="A132" t="str">
        <f>"128"</f>
        <v>128</v>
      </c>
      <c r="B132" t="str">
        <f t="shared" si="4"/>
        <v>102</v>
      </c>
      <c r="C132" t="str">
        <f t="shared" si="7"/>
        <v>6</v>
      </c>
      <c r="D132" t="str">
        <f>"2"</f>
        <v>2</v>
      </c>
      <c r="E132" t="str">
        <f>"102-6-2"</f>
        <v>102-6-2</v>
      </c>
      <c r="F132" t="s">
        <v>27</v>
      </c>
      <c r="G132" t="s">
        <v>28</v>
      </c>
      <c r="H132">
        <v>1</v>
      </c>
      <c r="Q132">
        <v>0</v>
      </c>
      <c r="R132">
        <v>1</v>
      </c>
      <c r="S132">
        <v>0</v>
      </c>
      <c r="T132">
        <v>1</v>
      </c>
      <c r="U132">
        <v>0</v>
      </c>
      <c r="V132">
        <v>1</v>
      </c>
    </row>
    <row r="133" spans="1:22" x14ac:dyDescent="0.25">
      <c r="A133" t="str">
        <f>"129"</f>
        <v>129</v>
      </c>
      <c r="B133" t="str">
        <f t="shared" ref="B133:B196" si="8">"102"</f>
        <v>102</v>
      </c>
      <c r="C133" t="str">
        <f t="shared" si="7"/>
        <v>6</v>
      </c>
      <c r="D133" t="str">
        <f>"22"</f>
        <v>22</v>
      </c>
      <c r="E133" t="str">
        <f>"102-6-22"</f>
        <v>102-6-22</v>
      </c>
      <c r="F133" t="s">
        <v>27</v>
      </c>
      <c r="G133" t="s">
        <v>28</v>
      </c>
      <c r="H133">
        <v>1</v>
      </c>
      <c r="Q133">
        <v>1</v>
      </c>
      <c r="R133">
        <v>0</v>
      </c>
      <c r="S133">
        <v>1</v>
      </c>
      <c r="T133">
        <v>0</v>
      </c>
      <c r="U133">
        <v>1</v>
      </c>
      <c r="V133">
        <v>0</v>
      </c>
    </row>
    <row r="134" spans="1:22" x14ac:dyDescent="0.25">
      <c r="A134" t="str">
        <f>"130"</f>
        <v>130</v>
      </c>
      <c r="B134" t="str">
        <f t="shared" si="8"/>
        <v>102</v>
      </c>
      <c r="C134" t="str">
        <f t="shared" si="7"/>
        <v>6</v>
      </c>
      <c r="D134" t="str">
        <f>"12"</f>
        <v>12</v>
      </c>
      <c r="E134" t="str">
        <f>"102-6-12"</f>
        <v>102-6-12</v>
      </c>
      <c r="F134" t="s">
        <v>27</v>
      </c>
      <c r="G134" t="s">
        <v>28</v>
      </c>
      <c r="H134">
        <v>1</v>
      </c>
      <c r="Q134">
        <v>0</v>
      </c>
      <c r="R134">
        <v>1</v>
      </c>
      <c r="S134">
        <v>0</v>
      </c>
      <c r="T134">
        <v>1</v>
      </c>
      <c r="U134">
        <v>1</v>
      </c>
      <c r="V134">
        <v>0</v>
      </c>
    </row>
    <row r="135" spans="1:22" x14ac:dyDescent="0.25">
      <c r="A135" t="str">
        <f>"131"</f>
        <v>131</v>
      </c>
      <c r="B135" t="str">
        <f t="shared" si="8"/>
        <v>102</v>
      </c>
      <c r="C135" t="str">
        <f t="shared" si="7"/>
        <v>6</v>
      </c>
      <c r="D135" t="str">
        <f>"1"</f>
        <v>1</v>
      </c>
      <c r="E135" t="str">
        <f>"102-6-1"</f>
        <v>102-6-1</v>
      </c>
      <c r="F135" t="s">
        <v>27</v>
      </c>
      <c r="G135" t="s">
        <v>28</v>
      </c>
      <c r="H135">
        <v>1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1</v>
      </c>
    </row>
    <row r="136" spans="1:22" x14ac:dyDescent="0.25">
      <c r="A136" t="str">
        <f>"132"</f>
        <v>132</v>
      </c>
      <c r="B136" t="str">
        <f t="shared" si="8"/>
        <v>102</v>
      </c>
      <c r="C136" t="str">
        <f t="shared" si="7"/>
        <v>6</v>
      </c>
      <c r="D136" t="str">
        <f>"23"</f>
        <v>23</v>
      </c>
      <c r="E136" t="str">
        <f>"102-6-23"</f>
        <v>102-6-23</v>
      </c>
      <c r="F136" t="s">
        <v>27</v>
      </c>
      <c r="G136" t="s">
        <v>28</v>
      </c>
      <c r="H136">
        <v>1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1</v>
      </c>
    </row>
    <row r="137" spans="1:22" x14ac:dyDescent="0.25">
      <c r="A137" t="str">
        <f>"133"</f>
        <v>133</v>
      </c>
      <c r="B137" t="str">
        <f t="shared" si="8"/>
        <v>102</v>
      </c>
      <c r="C137" t="str">
        <f t="shared" si="7"/>
        <v>6</v>
      </c>
      <c r="D137" t="str">
        <f>"13"</f>
        <v>13</v>
      </c>
      <c r="E137" t="str">
        <f>"102-6-13"</f>
        <v>102-6-13</v>
      </c>
      <c r="F137" t="s">
        <v>27</v>
      </c>
      <c r="G137" t="s">
        <v>28</v>
      </c>
      <c r="H137">
        <v>1</v>
      </c>
      <c r="Q137">
        <v>1</v>
      </c>
      <c r="R137">
        <v>0</v>
      </c>
      <c r="S137">
        <v>1</v>
      </c>
      <c r="T137">
        <v>0</v>
      </c>
      <c r="U137">
        <v>1</v>
      </c>
      <c r="V137">
        <v>0</v>
      </c>
    </row>
    <row r="138" spans="1:22" x14ac:dyDescent="0.25">
      <c r="A138" t="str">
        <f>"134"</f>
        <v>134</v>
      </c>
      <c r="B138" t="str">
        <f t="shared" si="8"/>
        <v>102</v>
      </c>
      <c r="C138" t="str">
        <f t="shared" si="7"/>
        <v>6</v>
      </c>
      <c r="D138" t="str">
        <f>"5"</f>
        <v>5</v>
      </c>
      <c r="E138" t="str">
        <f>"102-6-5"</f>
        <v>102-6-5</v>
      </c>
      <c r="F138" t="s">
        <v>27</v>
      </c>
      <c r="G138" t="s">
        <v>28</v>
      </c>
      <c r="H138">
        <v>1</v>
      </c>
      <c r="Q138">
        <v>0</v>
      </c>
      <c r="R138">
        <v>1</v>
      </c>
      <c r="S138">
        <v>0</v>
      </c>
      <c r="T138">
        <v>1</v>
      </c>
      <c r="U138">
        <v>0</v>
      </c>
      <c r="V138">
        <v>1</v>
      </c>
    </row>
    <row r="139" spans="1:22" x14ac:dyDescent="0.25">
      <c r="A139" t="str">
        <f>"135"</f>
        <v>135</v>
      </c>
      <c r="B139" t="str">
        <f t="shared" si="8"/>
        <v>102</v>
      </c>
      <c r="C139" t="str">
        <f t="shared" si="7"/>
        <v>6</v>
      </c>
      <c r="D139" t="str">
        <f>"24"</f>
        <v>24</v>
      </c>
      <c r="E139" t="str">
        <f>"102-6-24"</f>
        <v>102-6-24</v>
      </c>
      <c r="F139" t="s">
        <v>27</v>
      </c>
      <c r="G139" t="s">
        <v>28</v>
      </c>
      <c r="H139">
        <v>1</v>
      </c>
      <c r="Q139">
        <v>0</v>
      </c>
      <c r="R139">
        <v>1</v>
      </c>
      <c r="S139">
        <v>0</v>
      </c>
      <c r="T139">
        <v>1</v>
      </c>
      <c r="U139">
        <v>1</v>
      </c>
      <c r="V139">
        <v>0</v>
      </c>
    </row>
    <row r="140" spans="1:22" x14ac:dyDescent="0.25">
      <c r="A140" t="str">
        <f>"136"</f>
        <v>136</v>
      </c>
      <c r="B140" t="str">
        <f t="shared" si="8"/>
        <v>102</v>
      </c>
      <c r="C140" t="str">
        <f t="shared" si="7"/>
        <v>6</v>
      </c>
      <c r="D140" t="str">
        <f>"14"</f>
        <v>14</v>
      </c>
      <c r="E140" t="str">
        <f>"102-6-14"</f>
        <v>102-6-14</v>
      </c>
      <c r="F140" t="s">
        <v>27</v>
      </c>
      <c r="G140" t="s">
        <v>28</v>
      </c>
      <c r="H140">
        <v>1</v>
      </c>
      <c r="Q140">
        <v>0</v>
      </c>
      <c r="R140">
        <v>1</v>
      </c>
      <c r="S140">
        <v>0</v>
      </c>
      <c r="T140">
        <v>1</v>
      </c>
      <c r="U140">
        <v>0</v>
      </c>
      <c r="V140">
        <v>1</v>
      </c>
    </row>
    <row r="141" spans="1:22" x14ac:dyDescent="0.25">
      <c r="A141" t="str">
        <f>"137"</f>
        <v>137</v>
      </c>
      <c r="B141" t="str">
        <f t="shared" si="8"/>
        <v>102</v>
      </c>
      <c r="C141" t="str">
        <f t="shared" si="7"/>
        <v>6</v>
      </c>
      <c r="D141" t="str">
        <f>"10"</f>
        <v>10</v>
      </c>
      <c r="E141" t="str">
        <f>"102-6-10"</f>
        <v>102-6-10</v>
      </c>
      <c r="F141" t="s">
        <v>27</v>
      </c>
      <c r="G141" t="s">
        <v>28</v>
      </c>
      <c r="H141">
        <v>1</v>
      </c>
      <c r="Q141">
        <v>0</v>
      </c>
      <c r="R141">
        <v>1</v>
      </c>
      <c r="S141">
        <v>0</v>
      </c>
      <c r="T141">
        <v>1</v>
      </c>
      <c r="U141">
        <v>1</v>
      </c>
      <c r="V141">
        <v>0</v>
      </c>
    </row>
    <row r="142" spans="1:22" x14ac:dyDescent="0.25">
      <c r="A142" t="str">
        <f>"138"</f>
        <v>138</v>
      </c>
      <c r="B142" t="str">
        <f t="shared" si="8"/>
        <v>102</v>
      </c>
      <c r="C142" t="str">
        <f t="shared" si="7"/>
        <v>6</v>
      </c>
      <c r="D142" t="str">
        <f>"15"</f>
        <v>15</v>
      </c>
      <c r="E142" t="str">
        <f>"102-6-15"</f>
        <v>102-6-15</v>
      </c>
      <c r="F142" t="s">
        <v>27</v>
      </c>
      <c r="G142" t="s">
        <v>28</v>
      </c>
      <c r="H142">
        <v>1</v>
      </c>
      <c r="Q142">
        <v>0</v>
      </c>
      <c r="R142">
        <v>1</v>
      </c>
      <c r="S142">
        <v>0</v>
      </c>
      <c r="T142">
        <v>1</v>
      </c>
      <c r="U142">
        <v>0</v>
      </c>
      <c r="V142">
        <v>1</v>
      </c>
    </row>
    <row r="143" spans="1:22" x14ac:dyDescent="0.25">
      <c r="A143" t="str">
        <f>"139"</f>
        <v>139</v>
      </c>
      <c r="B143" t="str">
        <f t="shared" si="8"/>
        <v>102</v>
      </c>
      <c r="C143" t="str">
        <f t="shared" si="7"/>
        <v>6</v>
      </c>
      <c r="D143" t="str">
        <f>"3"</f>
        <v>3</v>
      </c>
      <c r="E143" t="str">
        <f>"102-6-3"</f>
        <v>102-6-3</v>
      </c>
      <c r="F143" t="s">
        <v>27</v>
      </c>
      <c r="G143" t="s">
        <v>28</v>
      </c>
      <c r="H143">
        <v>1</v>
      </c>
      <c r="Q143">
        <v>0</v>
      </c>
      <c r="R143">
        <v>1</v>
      </c>
      <c r="S143">
        <v>0</v>
      </c>
      <c r="T143">
        <v>1</v>
      </c>
      <c r="U143">
        <v>1</v>
      </c>
      <c r="V143">
        <v>0</v>
      </c>
    </row>
    <row r="144" spans="1:22" x14ac:dyDescent="0.25">
      <c r="A144" t="str">
        <f>"140"</f>
        <v>140</v>
      </c>
      <c r="B144" t="str">
        <f t="shared" si="8"/>
        <v>102</v>
      </c>
      <c r="C144" t="str">
        <f t="shared" si="7"/>
        <v>6</v>
      </c>
      <c r="D144" t="str">
        <f>"25"</f>
        <v>25</v>
      </c>
      <c r="E144" t="str">
        <f>"102-6-25"</f>
        <v>102-6-25</v>
      </c>
      <c r="F144" t="s">
        <v>27</v>
      </c>
      <c r="G144" t="s">
        <v>28</v>
      </c>
      <c r="H144">
        <v>1</v>
      </c>
      <c r="Q144">
        <v>0</v>
      </c>
      <c r="R144">
        <v>1</v>
      </c>
      <c r="S144">
        <v>0</v>
      </c>
      <c r="T144">
        <v>1</v>
      </c>
      <c r="U144">
        <v>0</v>
      </c>
      <c r="V144">
        <v>1</v>
      </c>
    </row>
    <row r="145" spans="1:22" x14ac:dyDescent="0.25">
      <c r="A145" t="str">
        <f>"141"</f>
        <v>141</v>
      </c>
      <c r="B145" t="str">
        <f t="shared" si="8"/>
        <v>102</v>
      </c>
      <c r="C145" t="str">
        <f t="shared" si="7"/>
        <v>6</v>
      </c>
      <c r="D145" t="str">
        <f>"16"</f>
        <v>16</v>
      </c>
      <c r="E145" t="str">
        <f>"102-6-16"</f>
        <v>102-6-16</v>
      </c>
      <c r="F145" t="s">
        <v>27</v>
      </c>
      <c r="G145" t="s">
        <v>28</v>
      </c>
      <c r="H145">
        <v>1</v>
      </c>
      <c r="Q145">
        <v>0</v>
      </c>
      <c r="R145">
        <v>1</v>
      </c>
      <c r="S145">
        <v>0</v>
      </c>
      <c r="T145">
        <v>1</v>
      </c>
      <c r="U145">
        <v>1</v>
      </c>
      <c r="V145">
        <v>0</v>
      </c>
    </row>
    <row r="146" spans="1:22" x14ac:dyDescent="0.25">
      <c r="A146" t="str">
        <f>"142"</f>
        <v>142</v>
      </c>
      <c r="B146" t="str">
        <f t="shared" si="8"/>
        <v>102</v>
      </c>
      <c r="C146" t="str">
        <f t="shared" si="7"/>
        <v>6</v>
      </c>
      <c r="D146" t="str">
        <f>"7"</f>
        <v>7</v>
      </c>
      <c r="E146" t="str">
        <f>"102-6-7"</f>
        <v>102-6-7</v>
      </c>
      <c r="F146" t="s">
        <v>27</v>
      </c>
      <c r="G146" t="s">
        <v>28</v>
      </c>
      <c r="H146">
        <v>1</v>
      </c>
      <c r="Q146">
        <v>1</v>
      </c>
      <c r="R146">
        <v>0</v>
      </c>
      <c r="S146">
        <v>0</v>
      </c>
      <c r="T146">
        <v>1</v>
      </c>
      <c r="U146">
        <v>0</v>
      </c>
      <c r="V146">
        <v>1</v>
      </c>
    </row>
    <row r="147" spans="1:22" x14ac:dyDescent="0.25">
      <c r="A147" t="str">
        <f>"143"</f>
        <v>143</v>
      </c>
      <c r="B147" t="str">
        <f t="shared" si="8"/>
        <v>102</v>
      </c>
      <c r="C147" t="str">
        <f t="shared" si="7"/>
        <v>6</v>
      </c>
      <c r="D147" t="str">
        <f>"17"</f>
        <v>17</v>
      </c>
      <c r="E147" t="str">
        <f>"102-6-17"</f>
        <v>102-6-17</v>
      </c>
      <c r="F147" t="s">
        <v>27</v>
      </c>
      <c r="G147" t="s">
        <v>28</v>
      </c>
      <c r="H147">
        <v>1</v>
      </c>
      <c r="Q147">
        <v>0</v>
      </c>
      <c r="R147">
        <v>1</v>
      </c>
      <c r="S147">
        <v>0</v>
      </c>
      <c r="T147">
        <v>1</v>
      </c>
      <c r="U147">
        <v>0</v>
      </c>
      <c r="V147">
        <v>1</v>
      </c>
    </row>
    <row r="148" spans="1:22" x14ac:dyDescent="0.25">
      <c r="A148" t="str">
        <f>"144"</f>
        <v>144</v>
      </c>
      <c r="B148" t="str">
        <f t="shared" si="8"/>
        <v>102</v>
      </c>
      <c r="C148" t="str">
        <f t="shared" si="7"/>
        <v>6</v>
      </c>
      <c r="D148" t="str">
        <f>"4"</f>
        <v>4</v>
      </c>
      <c r="E148" t="str">
        <f>"102-6-4"</f>
        <v>102-6-4</v>
      </c>
      <c r="F148" t="s">
        <v>27</v>
      </c>
      <c r="G148" t="s">
        <v>28</v>
      </c>
      <c r="H148">
        <v>1</v>
      </c>
      <c r="Q148">
        <v>0</v>
      </c>
      <c r="R148">
        <v>1</v>
      </c>
      <c r="S148">
        <v>0</v>
      </c>
      <c r="T148">
        <v>1</v>
      </c>
      <c r="U148">
        <v>0</v>
      </c>
      <c r="V148">
        <v>1</v>
      </c>
    </row>
    <row r="149" spans="1:22" x14ac:dyDescent="0.25">
      <c r="A149" t="str">
        <f>"145"</f>
        <v>145</v>
      </c>
      <c r="B149" t="str">
        <f t="shared" si="8"/>
        <v>102</v>
      </c>
      <c r="C149" t="str">
        <f t="shared" si="7"/>
        <v>6</v>
      </c>
      <c r="D149" t="str">
        <f>"18"</f>
        <v>18</v>
      </c>
      <c r="E149" t="str">
        <f>"102-6-18"</f>
        <v>102-6-18</v>
      </c>
      <c r="F149" t="s">
        <v>27</v>
      </c>
      <c r="G149" t="s">
        <v>28</v>
      </c>
      <c r="H149">
        <v>1</v>
      </c>
      <c r="Q149">
        <v>0</v>
      </c>
      <c r="R149">
        <v>1</v>
      </c>
      <c r="S149">
        <v>0</v>
      </c>
      <c r="T149">
        <v>1</v>
      </c>
      <c r="U149">
        <v>1</v>
      </c>
      <c r="V149">
        <v>0</v>
      </c>
    </row>
    <row r="150" spans="1:22" x14ac:dyDescent="0.25">
      <c r="A150" t="str">
        <f>"146"</f>
        <v>146</v>
      </c>
      <c r="B150" t="str">
        <f t="shared" si="8"/>
        <v>102</v>
      </c>
      <c r="C150" t="str">
        <f t="shared" si="7"/>
        <v>6</v>
      </c>
      <c r="D150" t="str">
        <f>"6"</f>
        <v>6</v>
      </c>
      <c r="E150" t="str">
        <f>"102-6-6"</f>
        <v>102-6-6</v>
      </c>
      <c r="F150" t="s">
        <v>27</v>
      </c>
      <c r="G150" t="s">
        <v>28</v>
      </c>
      <c r="H150">
        <v>1</v>
      </c>
      <c r="Q150">
        <v>1</v>
      </c>
      <c r="R150">
        <v>0</v>
      </c>
      <c r="S150">
        <v>1</v>
      </c>
      <c r="T150">
        <v>0</v>
      </c>
      <c r="U150">
        <v>1</v>
      </c>
      <c r="V150">
        <v>0</v>
      </c>
    </row>
    <row r="151" spans="1:22" x14ac:dyDescent="0.25">
      <c r="A151" t="str">
        <f>"147"</f>
        <v>147</v>
      </c>
      <c r="B151" t="str">
        <f t="shared" si="8"/>
        <v>102</v>
      </c>
      <c r="C151" t="str">
        <f t="shared" si="7"/>
        <v>6</v>
      </c>
      <c r="D151" t="str">
        <f>"19"</f>
        <v>19</v>
      </c>
      <c r="E151" t="str">
        <f>"102-6-19"</f>
        <v>102-6-19</v>
      </c>
      <c r="F151" t="s">
        <v>27</v>
      </c>
      <c r="G151" t="s">
        <v>28</v>
      </c>
      <c r="H151">
        <v>1</v>
      </c>
      <c r="Q151">
        <v>1</v>
      </c>
      <c r="R151">
        <v>0</v>
      </c>
      <c r="S151">
        <v>1</v>
      </c>
      <c r="T151">
        <v>0</v>
      </c>
      <c r="U151">
        <v>1</v>
      </c>
      <c r="V151">
        <v>0</v>
      </c>
    </row>
    <row r="152" spans="1:22" x14ac:dyDescent="0.25">
      <c r="A152" t="str">
        <f>"148"</f>
        <v>148</v>
      </c>
      <c r="B152" t="str">
        <f t="shared" si="8"/>
        <v>102</v>
      </c>
      <c r="C152" t="str">
        <f t="shared" si="7"/>
        <v>6</v>
      </c>
      <c r="D152" t="str">
        <f>"9"</f>
        <v>9</v>
      </c>
      <c r="E152" t="str">
        <f>"102-6-9"</f>
        <v>102-6-9</v>
      </c>
      <c r="F152" t="s">
        <v>27</v>
      </c>
      <c r="G152" t="s">
        <v>28</v>
      </c>
      <c r="H152">
        <v>1</v>
      </c>
      <c r="Q152">
        <v>0</v>
      </c>
      <c r="R152">
        <v>1</v>
      </c>
      <c r="S152">
        <v>0</v>
      </c>
      <c r="T152">
        <v>1</v>
      </c>
      <c r="U152">
        <v>0</v>
      </c>
      <c r="V152">
        <v>1</v>
      </c>
    </row>
    <row r="153" spans="1:22" x14ac:dyDescent="0.25">
      <c r="A153" t="str">
        <f>"149"</f>
        <v>149</v>
      </c>
      <c r="B153" t="str">
        <f t="shared" si="8"/>
        <v>102</v>
      </c>
      <c r="C153" t="str">
        <f t="shared" si="7"/>
        <v>6</v>
      </c>
      <c r="D153" t="str">
        <f>"20"</f>
        <v>20</v>
      </c>
      <c r="E153" t="str">
        <f>"102-6-20"</f>
        <v>102-6-20</v>
      </c>
      <c r="F153" t="s">
        <v>27</v>
      </c>
      <c r="G153" t="s">
        <v>28</v>
      </c>
      <c r="H153">
        <v>1</v>
      </c>
      <c r="Q153">
        <v>0</v>
      </c>
      <c r="R153">
        <v>1</v>
      </c>
      <c r="S153">
        <v>1</v>
      </c>
      <c r="T153">
        <v>0</v>
      </c>
      <c r="U153">
        <v>1</v>
      </c>
      <c r="V153">
        <v>0</v>
      </c>
    </row>
    <row r="154" spans="1:22" x14ac:dyDescent="0.25">
      <c r="A154" t="str">
        <f>"150"</f>
        <v>150</v>
      </c>
      <c r="B154" t="str">
        <f t="shared" si="8"/>
        <v>102</v>
      </c>
      <c r="C154" t="str">
        <f t="shared" si="7"/>
        <v>6</v>
      </c>
      <c r="D154" t="str">
        <f>"8"</f>
        <v>8</v>
      </c>
      <c r="E154" t="str">
        <f>"102-6-8"</f>
        <v>102-6-8</v>
      </c>
      <c r="F154" t="s">
        <v>27</v>
      </c>
      <c r="G154" t="s">
        <v>28</v>
      </c>
      <c r="H154">
        <v>1</v>
      </c>
      <c r="Q154">
        <v>1</v>
      </c>
      <c r="R154">
        <v>0</v>
      </c>
      <c r="S154">
        <v>0</v>
      </c>
      <c r="T154">
        <v>1</v>
      </c>
      <c r="U154">
        <v>0</v>
      </c>
      <c r="V154">
        <v>1</v>
      </c>
    </row>
    <row r="155" spans="1:22" x14ac:dyDescent="0.25">
      <c r="A155" t="str">
        <f>"151"</f>
        <v>151</v>
      </c>
      <c r="B155" t="str">
        <f t="shared" si="8"/>
        <v>102</v>
      </c>
      <c r="C155" t="str">
        <f t="shared" ref="C155:C179" si="9">"7"</f>
        <v>7</v>
      </c>
      <c r="D155" t="str">
        <f>"21"</f>
        <v>21</v>
      </c>
      <c r="E155" t="str">
        <f>"102-7-21"</f>
        <v>102-7-21</v>
      </c>
      <c r="F155" t="s">
        <v>27</v>
      </c>
      <c r="G155" t="s">
        <v>28</v>
      </c>
      <c r="H155">
        <v>1</v>
      </c>
      <c r="Q155">
        <v>0</v>
      </c>
      <c r="R155">
        <v>1</v>
      </c>
      <c r="S155">
        <v>0</v>
      </c>
      <c r="T155">
        <v>1</v>
      </c>
      <c r="U155">
        <v>0</v>
      </c>
      <c r="V155">
        <v>1</v>
      </c>
    </row>
    <row r="156" spans="1:22" x14ac:dyDescent="0.25">
      <c r="A156" t="str">
        <f>"152"</f>
        <v>152</v>
      </c>
      <c r="B156" t="str">
        <f t="shared" si="8"/>
        <v>102</v>
      </c>
      <c r="C156" t="str">
        <f t="shared" si="9"/>
        <v>7</v>
      </c>
      <c r="D156" t="str">
        <f>"11"</f>
        <v>11</v>
      </c>
      <c r="E156" t="str">
        <f>"102-7-11"</f>
        <v>102-7-11</v>
      </c>
      <c r="F156" t="s">
        <v>27</v>
      </c>
      <c r="G156" t="s">
        <v>28</v>
      </c>
      <c r="H156">
        <v>1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1</v>
      </c>
    </row>
    <row r="157" spans="1:22" x14ac:dyDescent="0.25">
      <c r="A157" t="str">
        <f>"153"</f>
        <v>153</v>
      </c>
      <c r="B157" t="str">
        <f t="shared" si="8"/>
        <v>102</v>
      </c>
      <c r="C157" t="str">
        <f t="shared" si="9"/>
        <v>7</v>
      </c>
      <c r="D157" t="str">
        <f>"1"</f>
        <v>1</v>
      </c>
      <c r="E157" t="str">
        <f>"102-7-1"</f>
        <v>102-7-1</v>
      </c>
      <c r="F157" t="s">
        <v>27</v>
      </c>
      <c r="G157" t="s">
        <v>28</v>
      </c>
      <c r="H157">
        <v>1</v>
      </c>
      <c r="Q157">
        <v>0</v>
      </c>
      <c r="R157">
        <v>1</v>
      </c>
      <c r="S157">
        <v>1</v>
      </c>
      <c r="T157">
        <v>0</v>
      </c>
      <c r="U157">
        <v>1</v>
      </c>
      <c r="V157">
        <v>0</v>
      </c>
    </row>
    <row r="158" spans="1:22" x14ac:dyDescent="0.25">
      <c r="A158" t="str">
        <f>"154"</f>
        <v>154</v>
      </c>
      <c r="B158" t="str">
        <f t="shared" si="8"/>
        <v>102</v>
      </c>
      <c r="C158" t="str">
        <f t="shared" si="9"/>
        <v>7</v>
      </c>
      <c r="D158" t="str">
        <f>"22"</f>
        <v>22</v>
      </c>
      <c r="E158" t="str">
        <f>"102-7-22"</f>
        <v>102-7-22</v>
      </c>
      <c r="F158" t="s">
        <v>27</v>
      </c>
      <c r="G158" t="s">
        <v>28</v>
      </c>
      <c r="H158">
        <v>1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1</v>
      </c>
    </row>
    <row r="159" spans="1:22" x14ac:dyDescent="0.25">
      <c r="A159" t="str">
        <f>"155"</f>
        <v>155</v>
      </c>
      <c r="B159" t="str">
        <f t="shared" si="8"/>
        <v>102</v>
      </c>
      <c r="C159" t="str">
        <f t="shared" si="9"/>
        <v>7</v>
      </c>
      <c r="D159" t="str">
        <f>"12"</f>
        <v>12</v>
      </c>
      <c r="E159" t="str">
        <f>"102-7-12"</f>
        <v>102-7-12</v>
      </c>
      <c r="F159" t="s">
        <v>27</v>
      </c>
      <c r="G159" t="s">
        <v>28</v>
      </c>
      <c r="H159">
        <v>1</v>
      </c>
      <c r="Q159">
        <v>0</v>
      </c>
      <c r="R159">
        <v>1</v>
      </c>
      <c r="S159">
        <v>0</v>
      </c>
      <c r="T159">
        <v>1</v>
      </c>
      <c r="U159">
        <v>0</v>
      </c>
      <c r="V159">
        <v>1</v>
      </c>
    </row>
    <row r="160" spans="1:22" x14ac:dyDescent="0.25">
      <c r="A160" t="str">
        <f>"156"</f>
        <v>156</v>
      </c>
      <c r="B160" t="str">
        <f t="shared" si="8"/>
        <v>102</v>
      </c>
      <c r="C160" t="str">
        <f t="shared" si="9"/>
        <v>7</v>
      </c>
      <c r="D160" t="str">
        <f>"2"</f>
        <v>2</v>
      </c>
      <c r="E160" t="str">
        <f>"102-7-2"</f>
        <v>102-7-2</v>
      </c>
      <c r="F160" t="s">
        <v>27</v>
      </c>
      <c r="G160" t="s">
        <v>28</v>
      </c>
      <c r="H160">
        <v>1</v>
      </c>
      <c r="Q160">
        <v>0</v>
      </c>
      <c r="R160">
        <v>1</v>
      </c>
      <c r="S160">
        <v>0</v>
      </c>
      <c r="T160">
        <v>1</v>
      </c>
      <c r="U160">
        <v>1</v>
      </c>
      <c r="V160">
        <v>0</v>
      </c>
    </row>
    <row r="161" spans="1:22" x14ac:dyDescent="0.25">
      <c r="A161" t="str">
        <f>"157"</f>
        <v>157</v>
      </c>
      <c r="B161" t="str">
        <f t="shared" si="8"/>
        <v>102</v>
      </c>
      <c r="C161" t="str">
        <f t="shared" si="9"/>
        <v>7</v>
      </c>
      <c r="D161" t="str">
        <f>"23"</f>
        <v>23</v>
      </c>
      <c r="E161" t="str">
        <f>"102-7-23"</f>
        <v>102-7-23</v>
      </c>
      <c r="F161" t="s">
        <v>27</v>
      </c>
      <c r="G161" t="s">
        <v>28</v>
      </c>
      <c r="H161">
        <v>1</v>
      </c>
      <c r="Q161">
        <v>0</v>
      </c>
      <c r="R161">
        <v>1</v>
      </c>
      <c r="S161">
        <v>0</v>
      </c>
      <c r="T161">
        <v>1</v>
      </c>
      <c r="U161">
        <v>0</v>
      </c>
      <c r="V161">
        <v>1</v>
      </c>
    </row>
    <row r="162" spans="1:22" x14ac:dyDescent="0.25">
      <c r="A162" t="str">
        <f>"158"</f>
        <v>158</v>
      </c>
      <c r="B162" t="str">
        <f t="shared" si="8"/>
        <v>102</v>
      </c>
      <c r="C162" t="str">
        <f t="shared" si="9"/>
        <v>7</v>
      </c>
      <c r="D162" t="str">
        <f>"13"</f>
        <v>13</v>
      </c>
      <c r="E162" t="str">
        <f>"102-7-13"</f>
        <v>102-7-13</v>
      </c>
      <c r="F162" t="s">
        <v>27</v>
      </c>
      <c r="G162" t="s">
        <v>28</v>
      </c>
      <c r="H162">
        <v>1</v>
      </c>
      <c r="Q162">
        <v>0</v>
      </c>
      <c r="R162">
        <v>1</v>
      </c>
      <c r="S162">
        <v>0</v>
      </c>
      <c r="T162">
        <v>1</v>
      </c>
      <c r="U162">
        <v>0</v>
      </c>
      <c r="V162">
        <v>1</v>
      </c>
    </row>
    <row r="163" spans="1:22" x14ac:dyDescent="0.25">
      <c r="A163" t="str">
        <f>"159"</f>
        <v>159</v>
      </c>
      <c r="B163" t="str">
        <f t="shared" si="8"/>
        <v>102</v>
      </c>
      <c r="C163" t="str">
        <f t="shared" si="9"/>
        <v>7</v>
      </c>
      <c r="D163" t="str">
        <f>"4"</f>
        <v>4</v>
      </c>
      <c r="E163" t="str">
        <f>"102-7-4"</f>
        <v>102-7-4</v>
      </c>
      <c r="F163" t="s">
        <v>27</v>
      </c>
      <c r="G163" t="s">
        <v>28</v>
      </c>
      <c r="H163">
        <v>1</v>
      </c>
      <c r="Q163">
        <v>0</v>
      </c>
      <c r="R163">
        <v>1</v>
      </c>
      <c r="S163">
        <v>0</v>
      </c>
      <c r="T163">
        <v>1</v>
      </c>
      <c r="U163">
        <v>0</v>
      </c>
      <c r="V163">
        <v>1</v>
      </c>
    </row>
    <row r="164" spans="1:22" x14ac:dyDescent="0.25">
      <c r="A164" t="str">
        <f>"160"</f>
        <v>160</v>
      </c>
      <c r="B164" t="str">
        <f t="shared" si="8"/>
        <v>102</v>
      </c>
      <c r="C164" t="str">
        <f t="shared" si="9"/>
        <v>7</v>
      </c>
      <c r="D164" t="str">
        <f>"24"</f>
        <v>24</v>
      </c>
      <c r="E164" t="str">
        <f>"102-7-24"</f>
        <v>102-7-24</v>
      </c>
      <c r="F164" t="s">
        <v>27</v>
      </c>
      <c r="G164" t="s">
        <v>28</v>
      </c>
      <c r="H164">
        <v>1</v>
      </c>
      <c r="Q164">
        <v>0</v>
      </c>
      <c r="R164">
        <v>1</v>
      </c>
      <c r="S164">
        <v>0</v>
      </c>
      <c r="T164">
        <v>1</v>
      </c>
      <c r="U164">
        <v>0</v>
      </c>
      <c r="V164">
        <v>1</v>
      </c>
    </row>
    <row r="165" spans="1:22" x14ac:dyDescent="0.25">
      <c r="A165" t="str">
        <f>"161"</f>
        <v>161</v>
      </c>
      <c r="B165" t="str">
        <f t="shared" si="8"/>
        <v>102</v>
      </c>
      <c r="C165" t="str">
        <f t="shared" si="9"/>
        <v>7</v>
      </c>
      <c r="D165" t="str">
        <f>"14"</f>
        <v>14</v>
      </c>
      <c r="E165" t="str">
        <f>"102-7-14"</f>
        <v>102-7-14</v>
      </c>
      <c r="F165" t="s">
        <v>27</v>
      </c>
      <c r="G165" t="s">
        <v>28</v>
      </c>
      <c r="H165">
        <v>1</v>
      </c>
      <c r="Q165">
        <v>1</v>
      </c>
      <c r="R165">
        <v>0</v>
      </c>
      <c r="S165">
        <v>1</v>
      </c>
      <c r="T165">
        <v>0</v>
      </c>
      <c r="U165">
        <v>0</v>
      </c>
      <c r="V165">
        <v>1</v>
      </c>
    </row>
    <row r="166" spans="1:22" x14ac:dyDescent="0.25">
      <c r="A166" t="str">
        <f>"162"</f>
        <v>162</v>
      </c>
      <c r="B166" t="str">
        <f t="shared" si="8"/>
        <v>102</v>
      </c>
      <c r="C166" t="str">
        <f t="shared" si="9"/>
        <v>7</v>
      </c>
      <c r="D166" t="str">
        <f>"6"</f>
        <v>6</v>
      </c>
      <c r="E166" t="str">
        <f>"102-7-6"</f>
        <v>102-7-6</v>
      </c>
      <c r="F166" t="s">
        <v>27</v>
      </c>
      <c r="G166" t="s">
        <v>28</v>
      </c>
      <c r="H166">
        <v>1</v>
      </c>
      <c r="Q166">
        <v>0</v>
      </c>
      <c r="R166">
        <v>1</v>
      </c>
      <c r="S166">
        <v>0</v>
      </c>
      <c r="T166">
        <v>1</v>
      </c>
      <c r="U166">
        <v>1</v>
      </c>
      <c r="V166">
        <v>0</v>
      </c>
    </row>
    <row r="167" spans="1:22" x14ac:dyDescent="0.25">
      <c r="A167" t="str">
        <f>"163"</f>
        <v>163</v>
      </c>
      <c r="B167" t="str">
        <f t="shared" si="8"/>
        <v>102</v>
      </c>
      <c r="C167" t="str">
        <f t="shared" si="9"/>
        <v>7</v>
      </c>
      <c r="D167" t="str">
        <f>"25"</f>
        <v>25</v>
      </c>
      <c r="E167" t="str">
        <f>"102-7-25"</f>
        <v>102-7-25</v>
      </c>
      <c r="F167" t="s">
        <v>27</v>
      </c>
      <c r="G167" t="s">
        <v>28</v>
      </c>
      <c r="H167">
        <v>1</v>
      </c>
      <c r="Q167">
        <v>1</v>
      </c>
      <c r="R167">
        <v>0</v>
      </c>
      <c r="S167">
        <v>1</v>
      </c>
      <c r="T167">
        <v>0</v>
      </c>
      <c r="U167">
        <v>0</v>
      </c>
      <c r="V167">
        <v>1</v>
      </c>
    </row>
    <row r="168" spans="1:22" x14ac:dyDescent="0.25">
      <c r="A168" t="str">
        <f>"164"</f>
        <v>164</v>
      </c>
      <c r="B168" t="str">
        <f t="shared" si="8"/>
        <v>102</v>
      </c>
      <c r="C168" t="str">
        <f t="shared" si="9"/>
        <v>7</v>
      </c>
      <c r="D168" t="str">
        <f>"15"</f>
        <v>15</v>
      </c>
      <c r="E168" t="str">
        <f>"102-7-15"</f>
        <v>102-7-15</v>
      </c>
      <c r="F168" t="s">
        <v>27</v>
      </c>
      <c r="G168" t="s">
        <v>28</v>
      </c>
      <c r="H168">
        <v>1</v>
      </c>
      <c r="Q168">
        <v>0</v>
      </c>
      <c r="R168">
        <v>1</v>
      </c>
      <c r="S168">
        <v>0</v>
      </c>
      <c r="T168">
        <v>1</v>
      </c>
      <c r="U168">
        <v>0</v>
      </c>
      <c r="V168">
        <v>1</v>
      </c>
    </row>
    <row r="169" spans="1:22" x14ac:dyDescent="0.25">
      <c r="A169" t="str">
        <f>"165"</f>
        <v>165</v>
      </c>
      <c r="B169" t="str">
        <f t="shared" si="8"/>
        <v>102</v>
      </c>
      <c r="C169" t="str">
        <f t="shared" si="9"/>
        <v>7</v>
      </c>
      <c r="D169" t="str">
        <f>"3"</f>
        <v>3</v>
      </c>
      <c r="E169" t="str">
        <f>"102-7-3"</f>
        <v>102-7-3</v>
      </c>
      <c r="F169" t="s">
        <v>27</v>
      </c>
      <c r="G169" t="s">
        <v>28</v>
      </c>
      <c r="H169">
        <v>1</v>
      </c>
      <c r="Q169">
        <v>1</v>
      </c>
      <c r="R169">
        <v>0</v>
      </c>
      <c r="S169">
        <v>1</v>
      </c>
      <c r="T169">
        <v>0</v>
      </c>
      <c r="U169">
        <v>0</v>
      </c>
      <c r="V169">
        <v>1</v>
      </c>
    </row>
    <row r="170" spans="1:22" x14ac:dyDescent="0.25">
      <c r="A170" t="str">
        <f>"166"</f>
        <v>166</v>
      </c>
      <c r="B170" t="str">
        <f t="shared" si="8"/>
        <v>102</v>
      </c>
      <c r="C170" t="str">
        <f t="shared" si="9"/>
        <v>7</v>
      </c>
      <c r="D170" t="str">
        <f>"16"</f>
        <v>16</v>
      </c>
      <c r="E170" t="str">
        <f>"102-7-16"</f>
        <v>102-7-16</v>
      </c>
      <c r="F170" t="s">
        <v>27</v>
      </c>
      <c r="G170" t="s">
        <v>28</v>
      </c>
      <c r="H170">
        <v>1</v>
      </c>
      <c r="Q170">
        <v>1</v>
      </c>
      <c r="R170">
        <v>0</v>
      </c>
      <c r="S170">
        <v>1</v>
      </c>
      <c r="T170">
        <v>0</v>
      </c>
      <c r="U170">
        <v>1</v>
      </c>
      <c r="V170">
        <v>0</v>
      </c>
    </row>
    <row r="171" spans="1:22" x14ac:dyDescent="0.25">
      <c r="A171" t="str">
        <f>"167"</f>
        <v>167</v>
      </c>
      <c r="B171" t="str">
        <f t="shared" si="8"/>
        <v>102</v>
      </c>
      <c r="C171" t="str">
        <f t="shared" si="9"/>
        <v>7</v>
      </c>
      <c r="D171" t="str">
        <f>"5"</f>
        <v>5</v>
      </c>
      <c r="E171" t="str">
        <f>"102-7-5"</f>
        <v>102-7-5</v>
      </c>
      <c r="F171" t="s">
        <v>27</v>
      </c>
      <c r="G171" t="s">
        <v>28</v>
      </c>
      <c r="H171">
        <v>1</v>
      </c>
      <c r="Q171">
        <v>0</v>
      </c>
      <c r="R171">
        <v>1</v>
      </c>
      <c r="S171">
        <v>0</v>
      </c>
      <c r="T171">
        <v>1</v>
      </c>
      <c r="U171">
        <v>0</v>
      </c>
      <c r="V171">
        <v>1</v>
      </c>
    </row>
    <row r="172" spans="1:22" x14ac:dyDescent="0.25">
      <c r="A172" t="str">
        <f>"168"</f>
        <v>168</v>
      </c>
      <c r="B172" t="str">
        <f t="shared" si="8"/>
        <v>102</v>
      </c>
      <c r="C172" t="str">
        <f t="shared" si="9"/>
        <v>7</v>
      </c>
      <c r="D172" t="str">
        <f>"17"</f>
        <v>17</v>
      </c>
      <c r="E172" t="str">
        <f>"102-7-17"</f>
        <v>102-7-17</v>
      </c>
      <c r="F172" t="s">
        <v>27</v>
      </c>
      <c r="G172" t="s">
        <v>28</v>
      </c>
      <c r="H172">
        <v>1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1</v>
      </c>
    </row>
    <row r="173" spans="1:22" x14ac:dyDescent="0.25">
      <c r="A173" t="str">
        <f>"169"</f>
        <v>169</v>
      </c>
      <c r="B173" t="str">
        <f t="shared" si="8"/>
        <v>102</v>
      </c>
      <c r="C173" t="str">
        <f t="shared" si="9"/>
        <v>7</v>
      </c>
      <c r="D173" t="str">
        <f>"8"</f>
        <v>8</v>
      </c>
      <c r="E173" t="str">
        <f>"102-7-8"</f>
        <v>102-7-8</v>
      </c>
      <c r="F173" t="s">
        <v>27</v>
      </c>
      <c r="G173" t="s">
        <v>28</v>
      </c>
      <c r="H173">
        <v>1</v>
      </c>
      <c r="Q173">
        <v>0</v>
      </c>
      <c r="R173">
        <v>1</v>
      </c>
      <c r="S173">
        <v>0</v>
      </c>
      <c r="T173">
        <v>1</v>
      </c>
      <c r="U173">
        <v>0</v>
      </c>
      <c r="V173">
        <v>1</v>
      </c>
    </row>
    <row r="174" spans="1:22" x14ac:dyDescent="0.25">
      <c r="A174" t="str">
        <f>"170"</f>
        <v>170</v>
      </c>
      <c r="B174" t="str">
        <f t="shared" si="8"/>
        <v>102</v>
      </c>
      <c r="C174" t="str">
        <f t="shared" si="9"/>
        <v>7</v>
      </c>
      <c r="D174" t="str">
        <f>"18"</f>
        <v>18</v>
      </c>
      <c r="E174" t="str">
        <f>"102-7-18"</f>
        <v>102-7-18</v>
      </c>
      <c r="F174" t="s">
        <v>27</v>
      </c>
      <c r="G174" t="s">
        <v>28</v>
      </c>
      <c r="H174">
        <v>1</v>
      </c>
      <c r="Q174">
        <v>0</v>
      </c>
      <c r="R174">
        <v>1</v>
      </c>
      <c r="S174">
        <v>0</v>
      </c>
      <c r="T174">
        <v>1</v>
      </c>
      <c r="U174">
        <v>0</v>
      </c>
      <c r="V174">
        <v>1</v>
      </c>
    </row>
    <row r="175" spans="1:22" x14ac:dyDescent="0.25">
      <c r="A175" t="str">
        <f>"171"</f>
        <v>171</v>
      </c>
      <c r="B175" t="str">
        <f t="shared" si="8"/>
        <v>102</v>
      </c>
      <c r="C175" t="str">
        <f t="shared" si="9"/>
        <v>7</v>
      </c>
      <c r="D175" t="str">
        <f>"9"</f>
        <v>9</v>
      </c>
      <c r="E175" t="str">
        <f>"102-7-9"</f>
        <v>102-7-9</v>
      </c>
      <c r="F175" t="s">
        <v>27</v>
      </c>
      <c r="G175" t="s">
        <v>28</v>
      </c>
      <c r="H175">
        <v>1</v>
      </c>
      <c r="Q175">
        <v>0</v>
      </c>
      <c r="R175">
        <v>1</v>
      </c>
      <c r="S175">
        <v>0</v>
      </c>
      <c r="T175">
        <v>1</v>
      </c>
      <c r="U175">
        <v>1</v>
      </c>
      <c r="V175">
        <v>0</v>
      </c>
    </row>
    <row r="176" spans="1:22" x14ac:dyDescent="0.25">
      <c r="A176" t="str">
        <f>"172"</f>
        <v>172</v>
      </c>
      <c r="B176" t="str">
        <f t="shared" si="8"/>
        <v>102</v>
      </c>
      <c r="C176" t="str">
        <f t="shared" si="9"/>
        <v>7</v>
      </c>
      <c r="D176" t="str">
        <f>"19"</f>
        <v>19</v>
      </c>
      <c r="E176" t="str">
        <f>"102-7-19"</f>
        <v>102-7-19</v>
      </c>
      <c r="F176" t="s">
        <v>27</v>
      </c>
      <c r="G176" t="s">
        <v>28</v>
      </c>
      <c r="H176">
        <v>1</v>
      </c>
      <c r="Q176">
        <v>0</v>
      </c>
      <c r="R176">
        <v>1</v>
      </c>
      <c r="S176">
        <v>0</v>
      </c>
      <c r="T176">
        <v>1</v>
      </c>
      <c r="U176">
        <v>0</v>
      </c>
      <c r="V176">
        <v>1</v>
      </c>
    </row>
    <row r="177" spans="1:26" x14ac:dyDescent="0.25">
      <c r="A177" t="str">
        <f>"173"</f>
        <v>173</v>
      </c>
      <c r="B177" t="str">
        <f t="shared" si="8"/>
        <v>102</v>
      </c>
      <c r="C177" t="str">
        <f t="shared" si="9"/>
        <v>7</v>
      </c>
      <c r="D177" t="str">
        <f>"7"</f>
        <v>7</v>
      </c>
      <c r="E177" t="str">
        <f>"102-7-7"</f>
        <v>102-7-7</v>
      </c>
      <c r="F177" t="s">
        <v>27</v>
      </c>
      <c r="G177" t="s">
        <v>28</v>
      </c>
      <c r="H177">
        <v>1</v>
      </c>
      <c r="Q177">
        <v>1</v>
      </c>
      <c r="R177">
        <v>0</v>
      </c>
      <c r="S177">
        <v>1</v>
      </c>
      <c r="T177">
        <v>0</v>
      </c>
      <c r="U177">
        <v>1</v>
      </c>
      <c r="V177">
        <v>0</v>
      </c>
    </row>
    <row r="178" spans="1:26" x14ac:dyDescent="0.25">
      <c r="A178" t="str">
        <f>"174"</f>
        <v>174</v>
      </c>
      <c r="B178" t="str">
        <f t="shared" si="8"/>
        <v>102</v>
      </c>
      <c r="C178" t="str">
        <f t="shared" si="9"/>
        <v>7</v>
      </c>
      <c r="D178" t="str">
        <f>"20"</f>
        <v>20</v>
      </c>
      <c r="E178" t="str">
        <f>"102-7-20"</f>
        <v>102-7-20</v>
      </c>
      <c r="F178" t="s">
        <v>27</v>
      </c>
      <c r="G178" t="s">
        <v>28</v>
      </c>
      <c r="H178">
        <v>1</v>
      </c>
      <c r="Q178">
        <v>0</v>
      </c>
      <c r="R178">
        <v>1</v>
      </c>
      <c r="S178">
        <v>0</v>
      </c>
      <c r="T178">
        <v>1</v>
      </c>
      <c r="U178">
        <v>0</v>
      </c>
      <c r="V178">
        <v>1</v>
      </c>
    </row>
    <row r="179" spans="1:26" x14ac:dyDescent="0.25">
      <c r="A179" t="str">
        <f>"175"</f>
        <v>175</v>
      </c>
      <c r="B179" t="str">
        <f t="shared" si="8"/>
        <v>102</v>
      </c>
      <c r="C179" t="str">
        <f t="shared" si="9"/>
        <v>7</v>
      </c>
      <c r="D179" t="str">
        <f>"10"</f>
        <v>10</v>
      </c>
      <c r="E179" t="str">
        <f>"102-7-10"</f>
        <v>102-7-10</v>
      </c>
      <c r="F179" t="s">
        <v>27</v>
      </c>
      <c r="G179" t="s">
        <v>28</v>
      </c>
      <c r="H179">
        <v>1</v>
      </c>
      <c r="Q179">
        <v>0</v>
      </c>
      <c r="R179">
        <v>1</v>
      </c>
      <c r="S179">
        <v>0</v>
      </c>
      <c r="T179">
        <v>1</v>
      </c>
      <c r="U179">
        <v>1</v>
      </c>
      <c r="V179">
        <v>0</v>
      </c>
    </row>
    <row r="180" spans="1:26" x14ac:dyDescent="0.25">
      <c r="A180" t="str">
        <f>"176"</f>
        <v>176</v>
      </c>
      <c r="B180" t="str">
        <f t="shared" si="8"/>
        <v>102</v>
      </c>
      <c r="C180" t="str">
        <f t="shared" ref="C180:C204" si="10">"8"</f>
        <v>8</v>
      </c>
      <c r="D180" t="str">
        <f>"25"</f>
        <v>25</v>
      </c>
      <c r="E180" t="str">
        <f>"102-8-25"</f>
        <v>102-8-25</v>
      </c>
      <c r="F180" t="s">
        <v>27</v>
      </c>
      <c r="G180" t="s">
        <v>29</v>
      </c>
      <c r="H180">
        <v>3</v>
      </c>
      <c r="M180">
        <v>1</v>
      </c>
      <c r="N180">
        <v>1</v>
      </c>
      <c r="O180">
        <v>0</v>
      </c>
      <c r="P180">
        <v>1</v>
      </c>
      <c r="Q180">
        <v>1</v>
      </c>
      <c r="R180">
        <v>0</v>
      </c>
      <c r="S180">
        <v>0</v>
      </c>
      <c r="T180">
        <v>1</v>
      </c>
      <c r="U180">
        <v>1</v>
      </c>
      <c r="V180">
        <v>0</v>
      </c>
      <c r="Y180">
        <v>1</v>
      </c>
      <c r="Z180">
        <v>0</v>
      </c>
    </row>
    <row r="181" spans="1:26" x14ac:dyDescent="0.25">
      <c r="A181" t="str">
        <f>"177"</f>
        <v>177</v>
      </c>
      <c r="B181" t="str">
        <f t="shared" si="8"/>
        <v>102</v>
      </c>
      <c r="C181" t="str">
        <f t="shared" si="10"/>
        <v>8</v>
      </c>
      <c r="D181" t="str">
        <f>"11"</f>
        <v>11</v>
      </c>
      <c r="E181" t="str">
        <f>"102-8-11"</f>
        <v>102-8-11</v>
      </c>
      <c r="F181" t="s">
        <v>27</v>
      </c>
      <c r="G181" t="s">
        <v>29</v>
      </c>
      <c r="H181">
        <v>3</v>
      </c>
      <c r="M181">
        <v>1</v>
      </c>
      <c r="N181">
        <v>0</v>
      </c>
      <c r="O181">
        <v>1</v>
      </c>
      <c r="P181">
        <v>1</v>
      </c>
      <c r="Q181">
        <v>1</v>
      </c>
      <c r="R181">
        <v>0</v>
      </c>
      <c r="S181">
        <v>0</v>
      </c>
      <c r="T181">
        <v>1</v>
      </c>
      <c r="U181">
        <v>1</v>
      </c>
      <c r="V181">
        <v>0</v>
      </c>
      <c r="Y181">
        <v>1</v>
      </c>
      <c r="Z181">
        <v>0</v>
      </c>
    </row>
    <row r="182" spans="1:26" x14ac:dyDescent="0.25">
      <c r="A182" t="str">
        <f>"178"</f>
        <v>178</v>
      </c>
      <c r="B182" t="str">
        <f t="shared" si="8"/>
        <v>102</v>
      </c>
      <c r="C182" t="str">
        <f t="shared" si="10"/>
        <v>8</v>
      </c>
      <c r="D182" t="str">
        <f>"23"</f>
        <v>23</v>
      </c>
      <c r="E182" t="str">
        <f>"102-8-23"</f>
        <v>102-8-23</v>
      </c>
      <c r="F182" t="s">
        <v>27</v>
      </c>
      <c r="G182" t="s">
        <v>28</v>
      </c>
      <c r="H182">
        <v>1</v>
      </c>
      <c r="Q182">
        <v>0</v>
      </c>
      <c r="R182">
        <v>1</v>
      </c>
      <c r="S182">
        <v>0</v>
      </c>
      <c r="T182">
        <v>1</v>
      </c>
      <c r="U182">
        <v>1</v>
      </c>
      <c r="V182">
        <v>0</v>
      </c>
    </row>
    <row r="183" spans="1:26" x14ac:dyDescent="0.25">
      <c r="A183" t="str">
        <f>"179"</f>
        <v>179</v>
      </c>
      <c r="B183" t="str">
        <f t="shared" si="8"/>
        <v>102</v>
      </c>
      <c r="C183" t="str">
        <f t="shared" si="10"/>
        <v>8</v>
      </c>
      <c r="D183" t="str">
        <f>"12"</f>
        <v>12</v>
      </c>
      <c r="E183" t="str">
        <f>"102-8-12"</f>
        <v>102-8-12</v>
      </c>
      <c r="F183" t="s">
        <v>27</v>
      </c>
      <c r="G183" t="s">
        <v>28</v>
      </c>
      <c r="H183">
        <v>1</v>
      </c>
      <c r="Q183">
        <v>1</v>
      </c>
      <c r="R183">
        <v>0</v>
      </c>
      <c r="S183">
        <v>1</v>
      </c>
      <c r="T183">
        <v>0</v>
      </c>
      <c r="U183">
        <v>1</v>
      </c>
      <c r="V183">
        <v>0</v>
      </c>
    </row>
    <row r="184" spans="1:26" x14ac:dyDescent="0.25">
      <c r="A184" t="str">
        <f>"180"</f>
        <v>180</v>
      </c>
      <c r="B184" t="str">
        <f t="shared" si="8"/>
        <v>102</v>
      </c>
      <c r="C184" t="str">
        <f t="shared" si="10"/>
        <v>8</v>
      </c>
      <c r="D184" t="str">
        <f>"2"</f>
        <v>2</v>
      </c>
      <c r="E184" t="str">
        <f>"102-8-2"</f>
        <v>102-8-2</v>
      </c>
      <c r="F184" t="s">
        <v>27</v>
      </c>
      <c r="G184" t="s">
        <v>28</v>
      </c>
      <c r="H184">
        <v>1</v>
      </c>
      <c r="Q184">
        <v>1</v>
      </c>
      <c r="R184">
        <v>0</v>
      </c>
      <c r="S184">
        <v>1</v>
      </c>
      <c r="T184">
        <v>0</v>
      </c>
      <c r="U184">
        <v>1</v>
      </c>
      <c r="V184">
        <v>0</v>
      </c>
    </row>
    <row r="185" spans="1:26" x14ac:dyDescent="0.25">
      <c r="A185" t="str">
        <f>"181"</f>
        <v>181</v>
      </c>
      <c r="B185" t="str">
        <f t="shared" si="8"/>
        <v>102</v>
      </c>
      <c r="C185" t="str">
        <f t="shared" si="10"/>
        <v>8</v>
      </c>
      <c r="D185" t="str">
        <f>"21"</f>
        <v>21</v>
      </c>
      <c r="E185" t="str">
        <f>"102-8-21"</f>
        <v>102-8-21</v>
      </c>
      <c r="F185" t="s">
        <v>27</v>
      </c>
      <c r="G185" t="s">
        <v>28</v>
      </c>
      <c r="H185">
        <v>1</v>
      </c>
      <c r="Q185">
        <v>1</v>
      </c>
      <c r="R185">
        <v>0</v>
      </c>
      <c r="S185">
        <v>1</v>
      </c>
      <c r="T185">
        <v>0</v>
      </c>
      <c r="U185">
        <v>1</v>
      </c>
      <c r="V185">
        <v>0</v>
      </c>
    </row>
    <row r="186" spans="1:26" x14ac:dyDescent="0.25">
      <c r="A186" t="str">
        <f>"182"</f>
        <v>182</v>
      </c>
      <c r="B186" t="str">
        <f t="shared" si="8"/>
        <v>102</v>
      </c>
      <c r="C186" t="str">
        <f t="shared" si="10"/>
        <v>8</v>
      </c>
      <c r="D186" t="str">
        <f>"13"</f>
        <v>13</v>
      </c>
      <c r="E186" t="str">
        <f>"102-8-13"</f>
        <v>102-8-13</v>
      </c>
      <c r="F186" t="s">
        <v>27</v>
      </c>
      <c r="G186" t="s">
        <v>28</v>
      </c>
      <c r="H186">
        <v>1</v>
      </c>
      <c r="Q186">
        <v>1</v>
      </c>
      <c r="R186">
        <v>0</v>
      </c>
      <c r="S186">
        <v>1</v>
      </c>
      <c r="T186">
        <v>0</v>
      </c>
      <c r="U186">
        <v>1</v>
      </c>
      <c r="V186">
        <v>0</v>
      </c>
    </row>
    <row r="187" spans="1:26" x14ac:dyDescent="0.25">
      <c r="A187" t="str">
        <f>"183"</f>
        <v>183</v>
      </c>
      <c r="B187" t="str">
        <f t="shared" si="8"/>
        <v>102</v>
      </c>
      <c r="C187" t="str">
        <f t="shared" si="10"/>
        <v>8</v>
      </c>
      <c r="D187" t="str">
        <f>"10"</f>
        <v>10</v>
      </c>
      <c r="E187" t="str">
        <f>"102-8-10"</f>
        <v>102-8-10</v>
      </c>
      <c r="F187" t="s">
        <v>27</v>
      </c>
      <c r="G187" t="s">
        <v>28</v>
      </c>
      <c r="H187">
        <v>1</v>
      </c>
      <c r="Q187">
        <v>1</v>
      </c>
      <c r="R187">
        <v>0</v>
      </c>
      <c r="S187">
        <v>1</v>
      </c>
      <c r="T187">
        <v>0</v>
      </c>
      <c r="U187">
        <v>1</v>
      </c>
      <c r="V187">
        <v>0</v>
      </c>
    </row>
    <row r="188" spans="1:26" x14ac:dyDescent="0.25">
      <c r="A188" t="str">
        <f>"184"</f>
        <v>184</v>
      </c>
      <c r="B188" t="str">
        <f t="shared" si="8"/>
        <v>102</v>
      </c>
      <c r="C188" t="str">
        <f t="shared" si="10"/>
        <v>8</v>
      </c>
      <c r="D188" t="str">
        <f>"14"</f>
        <v>14</v>
      </c>
      <c r="E188" t="str">
        <f>"102-8-14"</f>
        <v>102-8-14</v>
      </c>
      <c r="F188" t="s">
        <v>27</v>
      </c>
      <c r="G188" t="s">
        <v>29</v>
      </c>
      <c r="H188">
        <v>3</v>
      </c>
      <c r="M188">
        <v>1</v>
      </c>
      <c r="N188">
        <v>0</v>
      </c>
      <c r="O188">
        <v>1</v>
      </c>
      <c r="P188">
        <v>1</v>
      </c>
      <c r="Q188">
        <v>0</v>
      </c>
      <c r="R188">
        <v>1</v>
      </c>
      <c r="S188">
        <v>0</v>
      </c>
      <c r="T188">
        <v>1</v>
      </c>
      <c r="U188">
        <v>1</v>
      </c>
      <c r="V188">
        <v>0</v>
      </c>
      <c r="Y188">
        <v>0</v>
      </c>
      <c r="Z188">
        <v>1</v>
      </c>
    </row>
    <row r="189" spans="1:26" x14ac:dyDescent="0.25">
      <c r="A189" t="str">
        <f>"185"</f>
        <v>185</v>
      </c>
      <c r="B189" t="str">
        <f t="shared" si="8"/>
        <v>102</v>
      </c>
      <c r="C189" t="str">
        <f t="shared" si="10"/>
        <v>8</v>
      </c>
      <c r="D189" t="str">
        <f>"8"</f>
        <v>8</v>
      </c>
      <c r="E189" t="str">
        <f>"102-8-8"</f>
        <v>102-8-8</v>
      </c>
      <c r="F189" t="s">
        <v>27</v>
      </c>
      <c r="G189" t="s">
        <v>28</v>
      </c>
      <c r="H189">
        <v>1</v>
      </c>
      <c r="Q189">
        <v>0</v>
      </c>
      <c r="R189">
        <v>1</v>
      </c>
      <c r="S189">
        <v>0</v>
      </c>
      <c r="T189">
        <v>1</v>
      </c>
      <c r="U189">
        <v>0</v>
      </c>
      <c r="V189">
        <v>1</v>
      </c>
    </row>
    <row r="190" spans="1:26" x14ac:dyDescent="0.25">
      <c r="A190" t="str">
        <f>"186"</f>
        <v>186</v>
      </c>
      <c r="B190" t="str">
        <f t="shared" si="8"/>
        <v>102</v>
      </c>
      <c r="C190" t="str">
        <f t="shared" si="10"/>
        <v>8</v>
      </c>
      <c r="D190" t="str">
        <f>"24"</f>
        <v>24</v>
      </c>
      <c r="E190" t="str">
        <f>"102-8-24"</f>
        <v>102-8-24</v>
      </c>
      <c r="F190" t="s">
        <v>27</v>
      </c>
      <c r="G190" t="s">
        <v>28</v>
      </c>
      <c r="H190">
        <v>1</v>
      </c>
      <c r="Q190">
        <v>0</v>
      </c>
      <c r="R190">
        <v>1</v>
      </c>
      <c r="S190">
        <v>0</v>
      </c>
      <c r="T190">
        <v>1</v>
      </c>
      <c r="U190">
        <v>0</v>
      </c>
      <c r="V190">
        <v>1</v>
      </c>
    </row>
    <row r="191" spans="1:26" x14ac:dyDescent="0.25">
      <c r="A191" t="str">
        <f>"187"</f>
        <v>187</v>
      </c>
      <c r="B191" t="str">
        <f t="shared" si="8"/>
        <v>102</v>
      </c>
      <c r="C191" t="str">
        <f t="shared" si="10"/>
        <v>8</v>
      </c>
      <c r="D191" t="str">
        <f>"15"</f>
        <v>15</v>
      </c>
      <c r="E191" t="str">
        <f>"102-8-15"</f>
        <v>102-8-15</v>
      </c>
      <c r="F191" t="s">
        <v>27</v>
      </c>
      <c r="G191" t="s">
        <v>28</v>
      </c>
      <c r="H191">
        <v>1</v>
      </c>
      <c r="Q191">
        <v>0</v>
      </c>
      <c r="R191">
        <v>1</v>
      </c>
      <c r="S191">
        <v>0</v>
      </c>
      <c r="T191">
        <v>1</v>
      </c>
      <c r="U191">
        <v>0</v>
      </c>
      <c r="V191">
        <v>0</v>
      </c>
    </row>
    <row r="192" spans="1:26" x14ac:dyDescent="0.25">
      <c r="A192" t="str">
        <f>"188"</f>
        <v>188</v>
      </c>
      <c r="B192" t="str">
        <f t="shared" si="8"/>
        <v>102</v>
      </c>
      <c r="C192" t="str">
        <f t="shared" si="10"/>
        <v>8</v>
      </c>
      <c r="D192" t="str">
        <f>"5"</f>
        <v>5</v>
      </c>
      <c r="E192" t="str">
        <f>"102-8-5"</f>
        <v>102-8-5</v>
      </c>
      <c r="F192" t="s">
        <v>27</v>
      </c>
      <c r="G192" t="s">
        <v>28</v>
      </c>
      <c r="H192">
        <v>1</v>
      </c>
      <c r="Q192">
        <v>1</v>
      </c>
      <c r="R192">
        <v>0</v>
      </c>
      <c r="S192">
        <v>1</v>
      </c>
      <c r="T192">
        <v>0</v>
      </c>
      <c r="U192">
        <v>1</v>
      </c>
      <c r="V192">
        <v>0</v>
      </c>
    </row>
    <row r="193" spans="1:26" x14ac:dyDescent="0.25">
      <c r="A193" t="str">
        <f>"189"</f>
        <v>189</v>
      </c>
      <c r="B193" t="str">
        <f t="shared" si="8"/>
        <v>102</v>
      </c>
      <c r="C193" t="str">
        <f t="shared" si="10"/>
        <v>8</v>
      </c>
      <c r="D193" t="str">
        <f>"16"</f>
        <v>16</v>
      </c>
      <c r="E193" t="str">
        <f>"102-8-16"</f>
        <v>102-8-16</v>
      </c>
      <c r="F193" t="s">
        <v>27</v>
      </c>
      <c r="G193" t="s">
        <v>28</v>
      </c>
      <c r="H193">
        <v>1</v>
      </c>
      <c r="Q193">
        <v>1</v>
      </c>
      <c r="R193">
        <v>0</v>
      </c>
      <c r="S193">
        <v>1</v>
      </c>
      <c r="T193">
        <v>0</v>
      </c>
      <c r="U193">
        <v>0</v>
      </c>
      <c r="V193">
        <v>1</v>
      </c>
    </row>
    <row r="194" spans="1:26" x14ac:dyDescent="0.25">
      <c r="A194" t="str">
        <f>"190"</f>
        <v>190</v>
      </c>
      <c r="B194" t="str">
        <f t="shared" si="8"/>
        <v>102</v>
      </c>
      <c r="C194" t="str">
        <f t="shared" si="10"/>
        <v>8</v>
      </c>
      <c r="D194" t="str">
        <f>"6"</f>
        <v>6</v>
      </c>
      <c r="E194" t="str">
        <f>"102-8-6"</f>
        <v>102-8-6</v>
      </c>
      <c r="F194" t="s">
        <v>27</v>
      </c>
      <c r="G194" t="s">
        <v>28</v>
      </c>
      <c r="H194">
        <v>1</v>
      </c>
      <c r="Q194">
        <v>0</v>
      </c>
      <c r="R194">
        <v>1</v>
      </c>
      <c r="S194">
        <v>0</v>
      </c>
      <c r="T194">
        <v>1</v>
      </c>
      <c r="U194">
        <v>0</v>
      </c>
      <c r="V194">
        <v>1</v>
      </c>
    </row>
    <row r="195" spans="1:26" x14ac:dyDescent="0.25">
      <c r="A195" t="str">
        <f>"191"</f>
        <v>191</v>
      </c>
      <c r="B195" t="str">
        <f t="shared" si="8"/>
        <v>102</v>
      </c>
      <c r="C195" t="str">
        <f t="shared" si="10"/>
        <v>8</v>
      </c>
      <c r="D195" t="str">
        <f>"17"</f>
        <v>17</v>
      </c>
      <c r="E195" t="str">
        <f>"102-8-17"</f>
        <v>102-8-17</v>
      </c>
      <c r="F195" t="s">
        <v>27</v>
      </c>
      <c r="G195" t="s">
        <v>28</v>
      </c>
      <c r="H195">
        <v>1</v>
      </c>
      <c r="Q195">
        <v>0</v>
      </c>
      <c r="R195">
        <v>1</v>
      </c>
      <c r="S195">
        <v>0</v>
      </c>
      <c r="T195">
        <v>1</v>
      </c>
      <c r="U195">
        <v>0</v>
      </c>
      <c r="V195">
        <v>1</v>
      </c>
    </row>
    <row r="196" spans="1:26" x14ac:dyDescent="0.25">
      <c r="A196" t="str">
        <f>"192"</f>
        <v>192</v>
      </c>
      <c r="B196" t="str">
        <f t="shared" si="8"/>
        <v>102</v>
      </c>
      <c r="C196" t="str">
        <f t="shared" si="10"/>
        <v>8</v>
      </c>
      <c r="D196" t="str">
        <f>"9"</f>
        <v>9</v>
      </c>
      <c r="E196" t="str">
        <f>"102-8-9"</f>
        <v>102-8-9</v>
      </c>
      <c r="F196" t="s">
        <v>27</v>
      </c>
      <c r="G196" t="s">
        <v>28</v>
      </c>
      <c r="H196">
        <v>1</v>
      </c>
      <c r="Q196">
        <v>0</v>
      </c>
      <c r="R196">
        <v>1</v>
      </c>
      <c r="S196">
        <v>0</v>
      </c>
      <c r="T196">
        <v>1</v>
      </c>
      <c r="U196">
        <v>0</v>
      </c>
      <c r="V196">
        <v>1</v>
      </c>
    </row>
    <row r="197" spans="1:26" x14ac:dyDescent="0.25">
      <c r="A197" t="str">
        <f>"193"</f>
        <v>193</v>
      </c>
      <c r="B197" t="str">
        <f t="shared" ref="B197:B260" si="11">"102"</f>
        <v>102</v>
      </c>
      <c r="C197" t="str">
        <f t="shared" si="10"/>
        <v>8</v>
      </c>
      <c r="D197" t="str">
        <f>"22"</f>
        <v>22</v>
      </c>
      <c r="E197" t="str">
        <f>"102-8-22"</f>
        <v>102-8-22</v>
      </c>
      <c r="F197" t="s">
        <v>27</v>
      </c>
      <c r="G197" t="s">
        <v>29</v>
      </c>
      <c r="H197">
        <v>3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</v>
      </c>
      <c r="S197">
        <v>0</v>
      </c>
      <c r="T197">
        <v>1</v>
      </c>
      <c r="U197">
        <v>0</v>
      </c>
      <c r="V197">
        <v>1</v>
      </c>
      <c r="Y197">
        <v>0</v>
      </c>
      <c r="Z197">
        <v>1</v>
      </c>
    </row>
    <row r="198" spans="1:26" x14ac:dyDescent="0.25">
      <c r="A198" t="str">
        <f>"194"</f>
        <v>194</v>
      </c>
      <c r="B198" t="str">
        <f t="shared" si="11"/>
        <v>102</v>
      </c>
      <c r="C198" t="str">
        <f t="shared" si="10"/>
        <v>8</v>
      </c>
      <c r="D198" t="str">
        <f>"18"</f>
        <v>18</v>
      </c>
      <c r="E198" t="str">
        <f>"102-8-18"</f>
        <v>102-8-18</v>
      </c>
      <c r="F198" t="s">
        <v>27</v>
      </c>
      <c r="G198" t="s">
        <v>28</v>
      </c>
      <c r="H198">
        <v>1</v>
      </c>
      <c r="Q198">
        <v>0</v>
      </c>
      <c r="R198">
        <v>1</v>
      </c>
      <c r="S198">
        <v>0</v>
      </c>
      <c r="T198">
        <v>1</v>
      </c>
      <c r="U198">
        <v>0</v>
      </c>
      <c r="V198">
        <v>1</v>
      </c>
    </row>
    <row r="199" spans="1:26" x14ac:dyDescent="0.25">
      <c r="A199" t="str">
        <f>"195"</f>
        <v>195</v>
      </c>
      <c r="B199" t="str">
        <f t="shared" si="11"/>
        <v>102</v>
      </c>
      <c r="C199" t="str">
        <f t="shared" si="10"/>
        <v>8</v>
      </c>
      <c r="D199" t="str">
        <f>"7"</f>
        <v>7</v>
      </c>
      <c r="E199" t="str">
        <f>"102-8-7"</f>
        <v>102-8-7</v>
      </c>
      <c r="F199" t="s">
        <v>27</v>
      </c>
      <c r="G199" t="s">
        <v>28</v>
      </c>
      <c r="H199">
        <v>1</v>
      </c>
      <c r="Q199">
        <v>1</v>
      </c>
      <c r="R199">
        <v>0</v>
      </c>
      <c r="S199">
        <v>1</v>
      </c>
      <c r="T199">
        <v>0</v>
      </c>
      <c r="U199">
        <v>1</v>
      </c>
      <c r="V199">
        <v>0</v>
      </c>
    </row>
    <row r="200" spans="1:26" x14ac:dyDescent="0.25">
      <c r="A200" t="str">
        <f>"196"</f>
        <v>196</v>
      </c>
      <c r="B200" t="str">
        <f t="shared" si="11"/>
        <v>102</v>
      </c>
      <c r="C200" t="str">
        <f t="shared" si="10"/>
        <v>8</v>
      </c>
      <c r="D200" t="str">
        <f>"19"</f>
        <v>19</v>
      </c>
      <c r="E200" t="str">
        <f>"102-8-19"</f>
        <v>102-8-19</v>
      </c>
      <c r="F200" t="s">
        <v>27</v>
      </c>
      <c r="G200" t="s">
        <v>28</v>
      </c>
      <c r="H200">
        <v>1</v>
      </c>
      <c r="Q200">
        <v>1</v>
      </c>
      <c r="R200">
        <v>0</v>
      </c>
      <c r="S200">
        <v>1</v>
      </c>
      <c r="T200">
        <v>0</v>
      </c>
      <c r="U200">
        <v>1</v>
      </c>
      <c r="V200">
        <v>0</v>
      </c>
    </row>
    <row r="201" spans="1:26" x14ac:dyDescent="0.25">
      <c r="A201" t="str">
        <f>"197"</f>
        <v>197</v>
      </c>
      <c r="B201" t="str">
        <f t="shared" si="11"/>
        <v>102</v>
      </c>
      <c r="C201" t="str">
        <f t="shared" si="10"/>
        <v>8</v>
      </c>
      <c r="D201" t="str">
        <f>"3"</f>
        <v>3</v>
      </c>
      <c r="E201" t="str">
        <f>"102-8-3"</f>
        <v>102-8-3</v>
      </c>
      <c r="F201" t="s">
        <v>27</v>
      </c>
      <c r="G201" t="s">
        <v>29</v>
      </c>
      <c r="H201">
        <v>3</v>
      </c>
      <c r="M201">
        <v>1</v>
      </c>
      <c r="N201">
        <v>0</v>
      </c>
      <c r="O201">
        <v>1</v>
      </c>
      <c r="P201">
        <v>1</v>
      </c>
      <c r="Q201">
        <v>1</v>
      </c>
      <c r="R201">
        <v>0</v>
      </c>
      <c r="S201">
        <v>0</v>
      </c>
      <c r="T201">
        <v>1</v>
      </c>
      <c r="U201">
        <v>1</v>
      </c>
      <c r="V201">
        <v>0</v>
      </c>
      <c r="Y201">
        <v>1</v>
      </c>
      <c r="Z201">
        <v>0</v>
      </c>
    </row>
    <row r="202" spans="1:26" x14ac:dyDescent="0.25">
      <c r="A202" t="str">
        <f>"198"</f>
        <v>198</v>
      </c>
      <c r="B202" t="str">
        <f t="shared" si="11"/>
        <v>102</v>
      </c>
      <c r="C202" t="str">
        <f t="shared" si="10"/>
        <v>8</v>
      </c>
      <c r="D202" t="str">
        <f>"20"</f>
        <v>20</v>
      </c>
      <c r="E202" t="str">
        <f>"102-8-20"</f>
        <v>102-8-20</v>
      </c>
      <c r="F202" t="s">
        <v>27</v>
      </c>
      <c r="G202" t="s">
        <v>28</v>
      </c>
      <c r="H202">
        <v>1</v>
      </c>
      <c r="Q202">
        <v>0</v>
      </c>
      <c r="R202">
        <v>1</v>
      </c>
      <c r="S202">
        <v>0</v>
      </c>
      <c r="T202">
        <v>1</v>
      </c>
      <c r="U202">
        <v>0</v>
      </c>
      <c r="V202">
        <v>1</v>
      </c>
    </row>
    <row r="203" spans="1:26" x14ac:dyDescent="0.25">
      <c r="A203" t="str">
        <f>"199"</f>
        <v>199</v>
      </c>
      <c r="B203" t="str">
        <f t="shared" si="11"/>
        <v>102</v>
      </c>
      <c r="C203" t="str">
        <f t="shared" si="10"/>
        <v>8</v>
      </c>
      <c r="D203" t="str">
        <f>"4"</f>
        <v>4</v>
      </c>
      <c r="E203" t="str">
        <f>"102-8-4"</f>
        <v>102-8-4</v>
      </c>
      <c r="F203" t="s">
        <v>27</v>
      </c>
      <c r="G203" t="s">
        <v>29</v>
      </c>
      <c r="H203">
        <v>3</v>
      </c>
      <c r="M203">
        <v>0</v>
      </c>
      <c r="N203">
        <v>1</v>
      </c>
      <c r="O203">
        <v>0</v>
      </c>
      <c r="P203">
        <v>0</v>
      </c>
      <c r="Q203">
        <v>1</v>
      </c>
      <c r="R203">
        <v>0</v>
      </c>
      <c r="S203">
        <v>0</v>
      </c>
      <c r="T203">
        <v>1</v>
      </c>
      <c r="U203">
        <v>0</v>
      </c>
      <c r="V203">
        <v>1</v>
      </c>
      <c r="Y203">
        <v>1</v>
      </c>
      <c r="Z203">
        <v>0</v>
      </c>
    </row>
    <row r="204" spans="1:26" x14ac:dyDescent="0.25">
      <c r="A204" t="str">
        <f>"200"</f>
        <v>200</v>
      </c>
      <c r="B204" t="str">
        <f t="shared" si="11"/>
        <v>102</v>
      </c>
      <c r="C204" t="str">
        <f t="shared" si="10"/>
        <v>8</v>
      </c>
      <c r="D204" t="str">
        <f>"1"</f>
        <v>1</v>
      </c>
      <c r="E204" t="str">
        <f>"102-8-1"</f>
        <v>102-8-1</v>
      </c>
      <c r="F204" t="s">
        <v>27</v>
      </c>
      <c r="G204" t="s">
        <v>28</v>
      </c>
      <c r="H204">
        <v>1</v>
      </c>
      <c r="Q204">
        <v>0</v>
      </c>
      <c r="R204">
        <v>1</v>
      </c>
      <c r="S204">
        <v>0</v>
      </c>
      <c r="T204">
        <v>1</v>
      </c>
      <c r="U204">
        <v>0</v>
      </c>
      <c r="V204">
        <v>1</v>
      </c>
    </row>
    <row r="205" spans="1:26" x14ac:dyDescent="0.25">
      <c r="A205" t="str">
        <f>"201"</f>
        <v>201</v>
      </c>
      <c r="B205" t="str">
        <f t="shared" si="11"/>
        <v>102</v>
      </c>
      <c r="C205" t="str">
        <f t="shared" ref="C205:C229" si="12">"9"</f>
        <v>9</v>
      </c>
      <c r="D205" t="str">
        <f>"24"</f>
        <v>24</v>
      </c>
      <c r="E205" t="str">
        <f>"102-9-24"</f>
        <v>102-9-24</v>
      </c>
      <c r="F205" t="s">
        <v>27</v>
      </c>
      <c r="G205" t="s">
        <v>28</v>
      </c>
      <c r="H205">
        <v>1</v>
      </c>
      <c r="Q205">
        <v>0</v>
      </c>
      <c r="R205">
        <v>1</v>
      </c>
      <c r="S205">
        <v>0</v>
      </c>
      <c r="T205">
        <v>1</v>
      </c>
      <c r="U205">
        <v>0</v>
      </c>
      <c r="V205">
        <v>1</v>
      </c>
    </row>
    <row r="206" spans="1:26" x14ac:dyDescent="0.25">
      <c r="A206" t="str">
        <f>"202"</f>
        <v>202</v>
      </c>
      <c r="B206" t="str">
        <f t="shared" si="11"/>
        <v>102</v>
      </c>
      <c r="C206" t="str">
        <f t="shared" si="12"/>
        <v>9</v>
      </c>
      <c r="D206" t="str">
        <f>"11"</f>
        <v>11</v>
      </c>
      <c r="E206" t="str">
        <f>"102-9-11"</f>
        <v>102-9-11</v>
      </c>
      <c r="F206" t="s">
        <v>27</v>
      </c>
      <c r="G206" t="s">
        <v>28</v>
      </c>
      <c r="H206">
        <v>1</v>
      </c>
      <c r="Q206">
        <v>0</v>
      </c>
      <c r="R206">
        <v>1</v>
      </c>
      <c r="S206">
        <v>1</v>
      </c>
      <c r="T206">
        <v>0</v>
      </c>
      <c r="U206">
        <v>1</v>
      </c>
      <c r="V206">
        <v>0</v>
      </c>
    </row>
    <row r="207" spans="1:26" x14ac:dyDescent="0.25">
      <c r="A207" t="str">
        <f>"203"</f>
        <v>203</v>
      </c>
      <c r="B207" t="str">
        <f t="shared" si="11"/>
        <v>102</v>
      </c>
      <c r="C207" t="str">
        <f t="shared" si="12"/>
        <v>9</v>
      </c>
      <c r="D207" t="str">
        <f>"2"</f>
        <v>2</v>
      </c>
      <c r="E207" t="str">
        <f>"102-9-2"</f>
        <v>102-9-2</v>
      </c>
      <c r="F207" t="s">
        <v>27</v>
      </c>
      <c r="G207" t="s">
        <v>28</v>
      </c>
      <c r="H207">
        <v>1</v>
      </c>
      <c r="Q207">
        <v>1</v>
      </c>
      <c r="R207">
        <v>0</v>
      </c>
      <c r="S207">
        <v>1</v>
      </c>
      <c r="T207">
        <v>0</v>
      </c>
      <c r="U207">
        <v>1</v>
      </c>
      <c r="V207">
        <v>0</v>
      </c>
    </row>
    <row r="208" spans="1:26" x14ac:dyDescent="0.25">
      <c r="A208" t="str">
        <f>"204"</f>
        <v>204</v>
      </c>
      <c r="B208" t="str">
        <f t="shared" si="11"/>
        <v>102</v>
      </c>
      <c r="C208" t="str">
        <f t="shared" si="12"/>
        <v>9</v>
      </c>
      <c r="D208" t="str">
        <f>"23"</f>
        <v>23</v>
      </c>
      <c r="E208" t="str">
        <f>"102-9-23"</f>
        <v>102-9-23</v>
      </c>
      <c r="F208" t="s">
        <v>27</v>
      </c>
      <c r="G208" t="s">
        <v>28</v>
      </c>
      <c r="H208">
        <v>1</v>
      </c>
      <c r="Q208">
        <v>1</v>
      </c>
      <c r="R208">
        <v>0</v>
      </c>
      <c r="S208">
        <v>0</v>
      </c>
      <c r="T208">
        <v>1</v>
      </c>
      <c r="U208">
        <v>0</v>
      </c>
      <c r="V208">
        <v>1</v>
      </c>
    </row>
    <row r="209" spans="1:26" x14ac:dyDescent="0.25">
      <c r="A209" t="str">
        <f>"205"</f>
        <v>205</v>
      </c>
      <c r="B209" t="str">
        <f t="shared" si="11"/>
        <v>102</v>
      </c>
      <c r="C209" t="str">
        <f t="shared" si="12"/>
        <v>9</v>
      </c>
      <c r="D209" t="str">
        <f>"12"</f>
        <v>12</v>
      </c>
      <c r="E209" t="str">
        <f>"102-9-12"</f>
        <v>102-9-12</v>
      </c>
      <c r="F209" t="s">
        <v>27</v>
      </c>
      <c r="G209" t="s">
        <v>28</v>
      </c>
      <c r="H209">
        <v>1</v>
      </c>
      <c r="Q209">
        <v>0</v>
      </c>
      <c r="R209">
        <v>1</v>
      </c>
      <c r="S209">
        <v>0</v>
      </c>
      <c r="T209">
        <v>1</v>
      </c>
      <c r="U209">
        <v>0</v>
      </c>
      <c r="V209">
        <v>1</v>
      </c>
    </row>
    <row r="210" spans="1:26" x14ac:dyDescent="0.25">
      <c r="A210" t="str">
        <f>"206"</f>
        <v>206</v>
      </c>
      <c r="B210" t="str">
        <f t="shared" si="11"/>
        <v>102</v>
      </c>
      <c r="C210" t="str">
        <f t="shared" si="12"/>
        <v>9</v>
      </c>
      <c r="D210" t="str">
        <f>"3"</f>
        <v>3</v>
      </c>
      <c r="E210" t="str">
        <f>"102-9-3"</f>
        <v>102-9-3</v>
      </c>
      <c r="F210" t="s">
        <v>27</v>
      </c>
      <c r="G210" t="s">
        <v>28</v>
      </c>
      <c r="H210">
        <v>1</v>
      </c>
      <c r="Q210">
        <v>1</v>
      </c>
      <c r="R210">
        <v>0</v>
      </c>
      <c r="S210">
        <v>1</v>
      </c>
      <c r="T210">
        <v>0</v>
      </c>
      <c r="U210">
        <v>0</v>
      </c>
      <c r="V210">
        <v>1</v>
      </c>
    </row>
    <row r="211" spans="1:26" x14ac:dyDescent="0.25">
      <c r="A211" t="str">
        <f>"207"</f>
        <v>207</v>
      </c>
      <c r="B211" t="str">
        <f t="shared" si="11"/>
        <v>102</v>
      </c>
      <c r="C211" t="str">
        <f t="shared" si="12"/>
        <v>9</v>
      </c>
      <c r="D211" t="str">
        <f>"21"</f>
        <v>21</v>
      </c>
      <c r="E211" t="str">
        <f>"102-9-21"</f>
        <v>102-9-21</v>
      </c>
      <c r="F211" t="s">
        <v>27</v>
      </c>
      <c r="G211" t="s">
        <v>28</v>
      </c>
      <c r="H211">
        <v>1</v>
      </c>
      <c r="Q211">
        <v>0</v>
      </c>
      <c r="R211">
        <v>1</v>
      </c>
      <c r="S211">
        <v>0</v>
      </c>
      <c r="T211">
        <v>1</v>
      </c>
      <c r="U211">
        <v>0</v>
      </c>
      <c r="V211">
        <v>1</v>
      </c>
    </row>
    <row r="212" spans="1:26" x14ac:dyDescent="0.25">
      <c r="A212" t="str">
        <f>"208"</f>
        <v>208</v>
      </c>
      <c r="B212" t="str">
        <f t="shared" si="11"/>
        <v>102</v>
      </c>
      <c r="C212" t="str">
        <f t="shared" si="12"/>
        <v>9</v>
      </c>
      <c r="D212" t="str">
        <f>"13"</f>
        <v>13</v>
      </c>
      <c r="E212" t="str">
        <f>"102-9-13"</f>
        <v>102-9-13</v>
      </c>
      <c r="F212" t="s">
        <v>27</v>
      </c>
      <c r="G212" t="s">
        <v>28</v>
      </c>
      <c r="H212">
        <v>1</v>
      </c>
      <c r="Q212">
        <v>0</v>
      </c>
      <c r="R212">
        <v>1</v>
      </c>
      <c r="S212">
        <v>0</v>
      </c>
      <c r="T212">
        <v>1</v>
      </c>
      <c r="U212">
        <v>0</v>
      </c>
      <c r="V212">
        <v>1</v>
      </c>
    </row>
    <row r="213" spans="1:26" x14ac:dyDescent="0.25">
      <c r="A213" t="str">
        <f>"209"</f>
        <v>209</v>
      </c>
      <c r="B213" t="str">
        <f t="shared" si="11"/>
        <v>102</v>
      </c>
      <c r="C213" t="str">
        <f t="shared" si="12"/>
        <v>9</v>
      </c>
      <c r="D213" t="str">
        <f>"6"</f>
        <v>6</v>
      </c>
      <c r="E213" t="str">
        <f>"102-9-6"</f>
        <v>102-9-6</v>
      </c>
      <c r="F213" t="s">
        <v>27</v>
      </c>
      <c r="G213" t="s">
        <v>28</v>
      </c>
      <c r="H213">
        <v>1</v>
      </c>
      <c r="Q213">
        <v>0</v>
      </c>
      <c r="R213">
        <v>1</v>
      </c>
      <c r="S213">
        <v>0</v>
      </c>
      <c r="T213">
        <v>1</v>
      </c>
      <c r="U213">
        <v>0</v>
      </c>
      <c r="V213">
        <v>1</v>
      </c>
    </row>
    <row r="214" spans="1:26" x14ac:dyDescent="0.25">
      <c r="A214" t="str">
        <f>"210"</f>
        <v>210</v>
      </c>
      <c r="B214" t="str">
        <f t="shared" si="11"/>
        <v>102</v>
      </c>
      <c r="C214" t="str">
        <f t="shared" si="12"/>
        <v>9</v>
      </c>
      <c r="D214" t="str">
        <f>"14"</f>
        <v>14</v>
      </c>
      <c r="E214" t="str">
        <f>"102-9-14"</f>
        <v>102-9-14</v>
      </c>
      <c r="F214" t="s">
        <v>27</v>
      </c>
      <c r="G214" t="s">
        <v>28</v>
      </c>
      <c r="H214">
        <v>1</v>
      </c>
      <c r="Q214">
        <v>1</v>
      </c>
      <c r="R214">
        <v>0</v>
      </c>
      <c r="S214">
        <v>1</v>
      </c>
      <c r="T214">
        <v>0</v>
      </c>
      <c r="U214">
        <v>1</v>
      </c>
      <c r="V214">
        <v>0</v>
      </c>
    </row>
    <row r="215" spans="1:26" x14ac:dyDescent="0.25">
      <c r="A215" t="str">
        <f>"211"</f>
        <v>211</v>
      </c>
      <c r="B215" t="str">
        <f t="shared" si="11"/>
        <v>102</v>
      </c>
      <c r="C215" t="str">
        <f t="shared" si="12"/>
        <v>9</v>
      </c>
      <c r="D215" t="str">
        <f>"7"</f>
        <v>7</v>
      </c>
      <c r="E215" t="str">
        <f>"102-9-7"</f>
        <v>102-9-7</v>
      </c>
      <c r="F215" t="s">
        <v>27</v>
      </c>
      <c r="G215" t="s">
        <v>28</v>
      </c>
      <c r="H215">
        <v>1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1</v>
      </c>
    </row>
    <row r="216" spans="1:26" x14ac:dyDescent="0.25">
      <c r="A216" t="str">
        <f>"212"</f>
        <v>212</v>
      </c>
      <c r="B216" t="str">
        <f t="shared" si="11"/>
        <v>102</v>
      </c>
      <c r="C216" t="str">
        <f t="shared" si="12"/>
        <v>9</v>
      </c>
      <c r="D216" t="str">
        <f>"25"</f>
        <v>25</v>
      </c>
      <c r="E216" t="str">
        <f>"102-9-25"</f>
        <v>102-9-25</v>
      </c>
      <c r="F216" t="s">
        <v>27</v>
      </c>
      <c r="G216" t="s">
        <v>28</v>
      </c>
      <c r="H216">
        <v>1</v>
      </c>
      <c r="Q216">
        <v>0</v>
      </c>
      <c r="R216">
        <v>1</v>
      </c>
      <c r="S216">
        <v>0</v>
      </c>
      <c r="T216">
        <v>1</v>
      </c>
      <c r="U216">
        <v>0</v>
      </c>
      <c r="V216">
        <v>1</v>
      </c>
    </row>
    <row r="217" spans="1:26" x14ac:dyDescent="0.25">
      <c r="A217" t="str">
        <f>"213"</f>
        <v>213</v>
      </c>
      <c r="B217" t="str">
        <f t="shared" si="11"/>
        <v>102</v>
      </c>
      <c r="C217" t="str">
        <f t="shared" si="12"/>
        <v>9</v>
      </c>
      <c r="D217" t="str">
        <f>"15"</f>
        <v>15</v>
      </c>
      <c r="E217" t="str">
        <f>"102-9-15"</f>
        <v>102-9-15</v>
      </c>
      <c r="F217" t="s">
        <v>27</v>
      </c>
      <c r="G217" t="s">
        <v>28</v>
      </c>
      <c r="H217">
        <v>1</v>
      </c>
      <c r="Q217">
        <v>0</v>
      </c>
      <c r="R217">
        <v>1</v>
      </c>
      <c r="S217">
        <v>0</v>
      </c>
      <c r="T217">
        <v>1</v>
      </c>
      <c r="U217">
        <v>0</v>
      </c>
      <c r="V217">
        <v>1</v>
      </c>
    </row>
    <row r="218" spans="1:26" x14ac:dyDescent="0.25">
      <c r="A218" t="str">
        <f>"214"</f>
        <v>214</v>
      </c>
      <c r="B218" t="str">
        <f t="shared" si="11"/>
        <v>102</v>
      </c>
      <c r="C218" t="str">
        <f t="shared" si="12"/>
        <v>9</v>
      </c>
      <c r="D218" t="str">
        <f>"8"</f>
        <v>8</v>
      </c>
      <c r="E218" t="str">
        <f>"102-9-8"</f>
        <v>102-9-8</v>
      </c>
      <c r="F218" t="s">
        <v>27</v>
      </c>
      <c r="G218" t="s">
        <v>28</v>
      </c>
      <c r="H218">
        <v>1</v>
      </c>
      <c r="Q218">
        <v>1</v>
      </c>
      <c r="R218">
        <v>0</v>
      </c>
      <c r="S218">
        <v>1</v>
      </c>
      <c r="T218">
        <v>0</v>
      </c>
      <c r="U218">
        <v>1</v>
      </c>
      <c r="V218">
        <v>0</v>
      </c>
    </row>
    <row r="219" spans="1:26" x14ac:dyDescent="0.25">
      <c r="A219" t="str">
        <f>"215"</f>
        <v>215</v>
      </c>
      <c r="B219" t="str">
        <f t="shared" si="11"/>
        <v>102</v>
      </c>
      <c r="C219" t="str">
        <f t="shared" si="12"/>
        <v>9</v>
      </c>
      <c r="D219" t="str">
        <f>"16"</f>
        <v>16</v>
      </c>
      <c r="E219" t="str">
        <f>"102-9-16"</f>
        <v>102-9-16</v>
      </c>
      <c r="F219" t="s">
        <v>27</v>
      </c>
      <c r="G219" t="s">
        <v>28</v>
      </c>
      <c r="H219">
        <v>1</v>
      </c>
      <c r="Q219">
        <v>0</v>
      </c>
      <c r="R219">
        <v>1</v>
      </c>
      <c r="S219">
        <v>0</v>
      </c>
      <c r="T219">
        <v>1</v>
      </c>
      <c r="U219">
        <v>0</v>
      </c>
      <c r="V219">
        <v>1</v>
      </c>
    </row>
    <row r="220" spans="1:26" x14ac:dyDescent="0.25">
      <c r="A220" t="str">
        <f>"216"</f>
        <v>216</v>
      </c>
      <c r="B220" t="str">
        <f t="shared" si="11"/>
        <v>102</v>
      </c>
      <c r="C220" t="str">
        <f t="shared" si="12"/>
        <v>9</v>
      </c>
      <c r="D220" t="str">
        <f>"5"</f>
        <v>5</v>
      </c>
      <c r="E220" t="str">
        <f>"102-9-5"</f>
        <v>102-9-5</v>
      </c>
      <c r="F220" t="s">
        <v>27</v>
      </c>
      <c r="G220" t="s">
        <v>28</v>
      </c>
      <c r="H220">
        <v>1</v>
      </c>
      <c r="Q220">
        <v>0</v>
      </c>
      <c r="R220">
        <v>1</v>
      </c>
      <c r="S220">
        <v>0</v>
      </c>
      <c r="T220">
        <v>1</v>
      </c>
      <c r="U220">
        <v>0</v>
      </c>
      <c r="V220">
        <v>1</v>
      </c>
    </row>
    <row r="221" spans="1:26" x14ac:dyDescent="0.25">
      <c r="A221" t="str">
        <f>"217"</f>
        <v>217</v>
      </c>
      <c r="B221" t="str">
        <f t="shared" si="11"/>
        <v>102</v>
      </c>
      <c r="C221" t="str">
        <f t="shared" si="12"/>
        <v>9</v>
      </c>
      <c r="D221" t="str">
        <f>"22"</f>
        <v>22</v>
      </c>
      <c r="E221" t="str">
        <f>"102-9-22"</f>
        <v>102-9-22</v>
      </c>
      <c r="F221" t="s">
        <v>27</v>
      </c>
      <c r="G221" t="s">
        <v>29</v>
      </c>
      <c r="H221">
        <v>3</v>
      </c>
      <c r="M221">
        <v>1</v>
      </c>
      <c r="N221">
        <v>0</v>
      </c>
      <c r="O221">
        <v>1</v>
      </c>
      <c r="P221">
        <v>1</v>
      </c>
      <c r="Q221">
        <v>1</v>
      </c>
      <c r="R221">
        <v>0</v>
      </c>
      <c r="S221">
        <v>1</v>
      </c>
      <c r="T221">
        <v>0</v>
      </c>
      <c r="U221">
        <v>0</v>
      </c>
      <c r="V221">
        <v>1</v>
      </c>
      <c r="Y221">
        <v>1</v>
      </c>
      <c r="Z221">
        <v>0</v>
      </c>
    </row>
    <row r="222" spans="1:26" x14ac:dyDescent="0.25">
      <c r="A222" t="str">
        <f>"218"</f>
        <v>218</v>
      </c>
      <c r="B222" t="str">
        <f t="shared" si="11"/>
        <v>102</v>
      </c>
      <c r="C222" t="str">
        <f t="shared" si="12"/>
        <v>9</v>
      </c>
      <c r="D222" t="str">
        <f>"17"</f>
        <v>17</v>
      </c>
      <c r="E222" t="str">
        <f>"102-9-17"</f>
        <v>102-9-17</v>
      </c>
      <c r="F222" t="s">
        <v>27</v>
      </c>
      <c r="G222" t="s">
        <v>28</v>
      </c>
      <c r="H222">
        <v>1</v>
      </c>
      <c r="Q222">
        <v>0</v>
      </c>
      <c r="R222">
        <v>1</v>
      </c>
      <c r="S222">
        <v>0</v>
      </c>
      <c r="T222">
        <v>1</v>
      </c>
      <c r="U222">
        <v>0</v>
      </c>
      <c r="V222">
        <v>1</v>
      </c>
    </row>
    <row r="223" spans="1:26" x14ac:dyDescent="0.25">
      <c r="A223" t="str">
        <f>"219"</f>
        <v>219</v>
      </c>
      <c r="B223" t="str">
        <f t="shared" si="11"/>
        <v>102</v>
      </c>
      <c r="C223" t="str">
        <f t="shared" si="12"/>
        <v>9</v>
      </c>
      <c r="D223" t="str">
        <f>"10"</f>
        <v>10</v>
      </c>
      <c r="E223" t="str">
        <f>"102-9-10"</f>
        <v>102-9-10</v>
      </c>
      <c r="F223" t="s">
        <v>27</v>
      </c>
      <c r="G223" t="s">
        <v>28</v>
      </c>
      <c r="H223">
        <v>1</v>
      </c>
      <c r="Q223">
        <v>0</v>
      </c>
      <c r="R223">
        <v>1</v>
      </c>
      <c r="S223">
        <v>0</v>
      </c>
      <c r="T223">
        <v>1</v>
      </c>
      <c r="U223">
        <v>0</v>
      </c>
      <c r="V223">
        <v>1</v>
      </c>
    </row>
    <row r="224" spans="1:26" x14ac:dyDescent="0.25">
      <c r="A224" t="str">
        <f>"220"</f>
        <v>220</v>
      </c>
      <c r="B224" t="str">
        <f t="shared" si="11"/>
        <v>102</v>
      </c>
      <c r="C224" t="str">
        <f t="shared" si="12"/>
        <v>9</v>
      </c>
      <c r="D224" t="str">
        <f>"18"</f>
        <v>18</v>
      </c>
      <c r="E224" t="str">
        <f>"102-9-18"</f>
        <v>102-9-18</v>
      </c>
      <c r="F224" t="s">
        <v>27</v>
      </c>
      <c r="G224" t="s">
        <v>30</v>
      </c>
      <c r="H224">
        <v>2</v>
      </c>
      <c r="I224">
        <v>0</v>
      </c>
      <c r="J224">
        <v>0</v>
      </c>
      <c r="K224">
        <v>1</v>
      </c>
      <c r="L224">
        <v>0</v>
      </c>
      <c r="Q224">
        <v>0</v>
      </c>
      <c r="R224">
        <v>1</v>
      </c>
      <c r="S224">
        <v>0</v>
      </c>
      <c r="T224">
        <v>1</v>
      </c>
      <c r="U224">
        <v>0</v>
      </c>
      <c r="V224">
        <v>1</v>
      </c>
      <c r="W224">
        <v>0</v>
      </c>
      <c r="X224">
        <v>1</v>
      </c>
    </row>
    <row r="225" spans="1:26" x14ac:dyDescent="0.25">
      <c r="A225" t="str">
        <f>"221"</f>
        <v>221</v>
      </c>
      <c r="B225" t="str">
        <f t="shared" si="11"/>
        <v>102</v>
      </c>
      <c r="C225" t="str">
        <f t="shared" si="12"/>
        <v>9</v>
      </c>
      <c r="D225" t="str">
        <f>"1"</f>
        <v>1</v>
      </c>
      <c r="E225" t="str">
        <f>"102-9-1"</f>
        <v>102-9-1</v>
      </c>
      <c r="F225" t="s">
        <v>27</v>
      </c>
      <c r="G225" t="s">
        <v>29</v>
      </c>
      <c r="H225">
        <v>3</v>
      </c>
      <c r="M225">
        <v>1</v>
      </c>
      <c r="N225">
        <v>0</v>
      </c>
      <c r="O225">
        <v>1</v>
      </c>
      <c r="P225">
        <v>1</v>
      </c>
      <c r="Q225">
        <v>1</v>
      </c>
      <c r="R225">
        <v>0</v>
      </c>
      <c r="S225">
        <v>1</v>
      </c>
      <c r="T225">
        <v>0</v>
      </c>
      <c r="U225">
        <v>0</v>
      </c>
      <c r="V225">
        <v>1</v>
      </c>
      <c r="Y225">
        <v>1</v>
      </c>
      <c r="Z225">
        <v>0</v>
      </c>
    </row>
    <row r="226" spans="1:26" x14ac:dyDescent="0.25">
      <c r="A226" t="str">
        <f>"222"</f>
        <v>222</v>
      </c>
      <c r="B226" t="str">
        <f t="shared" si="11"/>
        <v>102</v>
      </c>
      <c r="C226" t="str">
        <f t="shared" si="12"/>
        <v>9</v>
      </c>
      <c r="D226" t="str">
        <f>"19"</f>
        <v>19</v>
      </c>
      <c r="E226" t="str">
        <f>"102-9-19"</f>
        <v>102-9-19</v>
      </c>
      <c r="F226" t="s">
        <v>27</v>
      </c>
      <c r="G226" t="s">
        <v>28</v>
      </c>
      <c r="H226">
        <v>1</v>
      </c>
      <c r="Q226">
        <v>1</v>
      </c>
      <c r="R226">
        <v>0</v>
      </c>
      <c r="S226">
        <v>0</v>
      </c>
      <c r="T226">
        <v>1</v>
      </c>
      <c r="U226">
        <v>0</v>
      </c>
      <c r="V226">
        <v>1</v>
      </c>
    </row>
    <row r="227" spans="1:26" x14ac:dyDescent="0.25">
      <c r="A227" t="str">
        <f>"223"</f>
        <v>223</v>
      </c>
      <c r="B227" t="str">
        <f t="shared" si="11"/>
        <v>102</v>
      </c>
      <c r="C227" t="str">
        <f t="shared" si="12"/>
        <v>9</v>
      </c>
      <c r="D227" t="str">
        <f>"4"</f>
        <v>4</v>
      </c>
      <c r="E227" t="str">
        <f>"102-9-4"</f>
        <v>102-9-4</v>
      </c>
      <c r="F227" t="s">
        <v>27</v>
      </c>
      <c r="G227" t="s">
        <v>30</v>
      </c>
      <c r="H227">
        <v>2</v>
      </c>
      <c r="I227">
        <v>1</v>
      </c>
      <c r="J227">
        <v>0</v>
      </c>
      <c r="K227">
        <v>1</v>
      </c>
      <c r="L227">
        <v>0</v>
      </c>
      <c r="Q227">
        <v>0</v>
      </c>
      <c r="R227">
        <v>1</v>
      </c>
      <c r="S227">
        <v>0</v>
      </c>
      <c r="T227">
        <v>1</v>
      </c>
      <c r="U227">
        <v>0</v>
      </c>
      <c r="V227">
        <v>1</v>
      </c>
      <c r="W227">
        <v>0</v>
      </c>
      <c r="X227">
        <v>1</v>
      </c>
    </row>
    <row r="228" spans="1:26" x14ac:dyDescent="0.25">
      <c r="A228" t="str">
        <f>"224"</f>
        <v>224</v>
      </c>
      <c r="B228" t="str">
        <f t="shared" si="11"/>
        <v>102</v>
      </c>
      <c r="C228" t="str">
        <f t="shared" si="12"/>
        <v>9</v>
      </c>
      <c r="D228" t="str">
        <f>"20"</f>
        <v>20</v>
      </c>
      <c r="E228" t="str">
        <f>"102-9-20"</f>
        <v>102-9-20</v>
      </c>
      <c r="F228" t="s">
        <v>27</v>
      </c>
      <c r="G228" t="s">
        <v>28</v>
      </c>
      <c r="H228">
        <v>1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1</v>
      </c>
    </row>
    <row r="229" spans="1:26" x14ac:dyDescent="0.25">
      <c r="A229" t="str">
        <f>"225"</f>
        <v>225</v>
      </c>
      <c r="B229" t="str">
        <f t="shared" si="11"/>
        <v>102</v>
      </c>
      <c r="C229" t="str">
        <f t="shared" si="12"/>
        <v>9</v>
      </c>
      <c r="D229" t="str">
        <f>"9"</f>
        <v>9</v>
      </c>
      <c r="E229" t="str">
        <f>"102-9-9"</f>
        <v>102-9-9</v>
      </c>
      <c r="F229" t="s">
        <v>27</v>
      </c>
      <c r="G229" t="s">
        <v>30</v>
      </c>
      <c r="H229">
        <v>2</v>
      </c>
      <c r="I229">
        <v>1</v>
      </c>
      <c r="J229">
        <v>1</v>
      </c>
      <c r="K229">
        <v>1</v>
      </c>
      <c r="L229">
        <v>1</v>
      </c>
      <c r="Q229">
        <v>0</v>
      </c>
      <c r="R229">
        <v>1</v>
      </c>
      <c r="S229">
        <v>0</v>
      </c>
      <c r="T229">
        <v>1</v>
      </c>
      <c r="U229">
        <v>0</v>
      </c>
      <c r="V229">
        <v>1</v>
      </c>
      <c r="W229">
        <v>0</v>
      </c>
      <c r="X229">
        <v>1</v>
      </c>
    </row>
    <row r="230" spans="1:26" x14ac:dyDescent="0.25">
      <c r="A230" t="str">
        <f>"226"</f>
        <v>226</v>
      </c>
      <c r="B230" t="str">
        <f t="shared" si="11"/>
        <v>102</v>
      </c>
      <c r="C230" t="str">
        <f t="shared" ref="C230:C254" si="13">"10"</f>
        <v>10</v>
      </c>
      <c r="D230" t="str">
        <f>"22"</f>
        <v>22</v>
      </c>
      <c r="E230" t="str">
        <f>"102-10-22"</f>
        <v>102-10-22</v>
      </c>
      <c r="F230" t="s">
        <v>27</v>
      </c>
      <c r="G230" t="s">
        <v>28</v>
      </c>
      <c r="H230">
        <v>1</v>
      </c>
      <c r="Q230">
        <v>0</v>
      </c>
      <c r="R230">
        <v>1</v>
      </c>
      <c r="S230">
        <v>0</v>
      </c>
      <c r="T230">
        <v>1</v>
      </c>
      <c r="U230">
        <v>1</v>
      </c>
      <c r="V230">
        <v>0</v>
      </c>
    </row>
    <row r="231" spans="1:26" x14ac:dyDescent="0.25">
      <c r="A231" t="str">
        <f>"227"</f>
        <v>227</v>
      </c>
      <c r="B231" t="str">
        <f t="shared" si="11"/>
        <v>102</v>
      </c>
      <c r="C231" t="str">
        <f t="shared" si="13"/>
        <v>10</v>
      </c>
      <c r="D231" t="str">
        <f>"11"</f>
        <v>11</v>
      </c>
      <c r="E231" t="str">
        <f>"102-10-11"</f>
        <v>102-10-11</v>
      </c>
      <c r="F231" t="s">
        <v>27</v>
      </c>
      <c r="G231" t="s">
        <v>28</v>
      </c>
      <c r="H231">
        <v>1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1</v>
      </c>
    </row>
    <row r="232" spans="1:26" x14ac:dyDescent="0.25">
      <c r="A232" t="str">
        <f>"228"</f>
        <v>228</v>
      </c>
      <c r="B232" t="str">
        <f t="shared" si="11"/>
        <v>102</v>
      </c>
      <c r="C232" t="str">
        <f t="shared" si="13"/>
        <v>10</v>
      </c>
      <c r="D232" t="str">
        <f>"3"</f>
        <v>3</v>
      </c>
      <c r="E232" t="str">
        <f>"102-10-3"</f>
        <v>102-10-3</v>
      </c>
      <c r="F232" t="s">
        <v>27</v>
      </c>
      <c r="G232" t="s">
        <v>28</v>
      </c>
      <c r="H232">
        <v>1</v>
      </c>
      <c r="Q232">
        <v>0</v>
      </c>
      <c r="R232">
        <v>1</v>
      </c>
      <c r="S232">
        <v>0</v>
      </c>
      <c r="T232">
        <v>1</v>
      </c>
      <c r="U232">
        <v>1</v>
      </c>
      <c r="V232">
        <v>0</v>
      </c>
    </row>
    <row r="233" spans="1:26" x14ac:dyDescent="0.25">
      <c r="A233" t="str">
        <f>"229"</f>
        <v>229</v>
      </c>
      <c r="B233" t="str">
        <f t="shared" si="11"/>
        <v>102</v>
      </c>
      <c r="C233" t="str">
        <f t="shared" si="13"/>
        <v>10</v>
      </c>
      <c r="D233" t="str">
        <f>"12"</f>
        <v>12</v>
      </c>
      <c r="E233" t="str">
        <f>"102-10-12"</f>
        <v>102-10-12</v>
      </c>
      <c r="F233" t="s">
        <v>27</v>
      </c>
      <c r="G233" t="s">
        <v>28</v>
      </c>
      <c r="H233">
        <v>1</v>
      </c>
      <c r="Q233">
        <v>0</v>
      </c>
      <c r="R233">
        <v>1</v>
      </c>
      <c r="S233">
        <v>0</v>
      </c>
      <c r="T233">
        <v>1</v>
      </c>
      <c r="U233">
        <v>0</v>
      </c>
      <c r="V233">
        <v>1</v>
      </c>
    </row>
    <row r="234" spans="1:26" x14ac:dyDescent="0.25">
      <c r="A234" t="str">
        <f>"230"</f>
        <v>230</v>
      </c>
      <c r="B234" t="str">
        <f t="shared" si="11"/>
        <v>102</v>
      </c>
      <c r="C234" t="str">
        <f t="shared" si="13"/>
        <v>10</v>
      </c>
      <c r="D234" t="str">
        <f>"2"</f>
        <v>2</v>
      </c>
      <c r="E234" t="str">
        <f>"102-10-2"</f>
        <v>102-10-2</v>
      </c>
      <c r="F234" t="s">
        <v>27</v>
      </c>
      <c r="G234" t="s">
        <v>28</v>
      </c>
      <c r="H234">
        <v>1</v>
      </c>
      <c r="Q234">
        <v>0</v>
      </c>
      <c r="R234">
        <v>1</v>
      </c>
      <c r="S234">
        <v>0</v>
      </c>
      <c r="T234">
        <v>1</v>
      </c>
      <c r="U234">
        <v>0</v>
      </c>
      <c r="V234">
        <v>1</v>
      </c>
    </row>
    <row r="235" spans="1:26" x14ac:dyDescent="0.25">
      <c r="A235" t="str">
        <f>"231"</f>
        <v>231</v>
      </c>
      <c r="B235" t="str">
        <f t="shared" si="11"/>
        <v>102</v>
      </c>
      <c r="C235" t="str">
        <f t="shared" si="13"/>
        <v>10</v>
      </c>
      <c r="D235" t="str">
        <f>"13"</f>
        <v>13</v>
      </c>
      <c r="E235" t="str">
        <f>"102-10-13"</f>
        <v>102-10-13</v>
      </c>
      <c r="F235" t="s">
        <v>27</v>
      </c>
      <c r="G235" t="s">
        <v>28</v>
      </c>
      <c r="H235">
        <v>1</v>
      </c>
      <c r="Q235">
        <v>0</v>
      </c>
      <c r="R235">
        <v>1</v>
      </c>
      <c r="S235">
        <v>0</v>
      </c>
      <c r="T235">
        <v>1</v>
      </c>
      <c r="U235">
        <v>1</v>
      </c>
      <c r="V235">
        <v>0</v>
      </c>
    </row>
    <row r="236" spans="1:26" x14ac:dyDescent="0.25">
      <c r="A236" t="str">
        <f>"232"</f>
        <v>232</v>
      </c>
      <c r="B236" t="str">
        <f t="shared" si="11"/>
        <v>102</v>
      </c>
      <c r="C236" t="str">
        <f t="shared" si="13"/>
        <v>10</v>
      </c>
      <c r="D236" t="str">
        <f>"8"</f>
        <v>8</v>
      </c>
      <c r="E236" t="str">
        <f>"102-10-8"</f>
        <v>102-10-8</v>
      </c>
      <c r="F236" t="s">
        <v>27</v>
      </c>
      <c r="G236" t="s">
        <v>28</v>
      </c>
      <c r="H236">
        <v>1</v>
      </c>
      <c r="Q236">
        <v>0</v>
      </c>
      <c r="R236">
        <v>1</v>
      </c>
      <c r="S236">
        <v>0</v>
      </c>
      <c r="T236">
        <v>1</v>
      </c>
      <c r="U236">
        <v>1</v>
      </c>
      <c r="V236">
        <v>0</v>
      </c>
    </row>
    <row r="237" spans="1:26" x14ac:dyDescent="0.25">
      <c r="A237" t="str">
        <f>"233"</f>
        <v>233</v>
      </c>
      <c r="B237" t="str">
        <f t="shared" si="11"/>
        <v>102</v>
      </c>
      <c r="C237" t="str">
        <f t="shared" si="13"/>
        <v>10</v>
      </c>
      <c r="D237" t="str">
        <f>"23"</f>
        <v>23</v>
      </c>
      <c r="E237" t="str">
        <f>"102-10-23"</f>
        <v>102-10-23</v>
      </c>
      <c r="F237" t="s">
        <v>27</v>
      </c>
      <c r="G237" t="s">
        <v>28</v>
      </c>
      <c r="H237">
        <v>1</v>
      </c>
      <c r="Q237">
        <v>0</v>
      </c>
      <c r="R237">
        <v>1</v>
      </c>
      <c r="S237">
        <v>0</v>
      </c>
      <c r="T237">
        <v>1</v>
      </c>
      <c r="U237">
        <v>0</v>
      </c>
      <c r="V237">
        <v>1</v>
      </c>
    </row>
    <row r="238" spans="1:26" x14ac:dyDescent="0.25">
      <c r="A238" t="str">
        <f>"234"</f>
        <v>234</v>
      </c>
      <c r="B238" t="str">
        <f t="shared" si="11"/>
        <v>102</v>
      </c>
      <c r="C238" t="str">
        <f t="shared" si="13"/>
        <v>10</v>
      </c>
      <c r="D238" t="str">
        <f>"14"</f>
        <v>14</v>
      </c>
      <c r="E238" t="str">
        <f>"102-10-14"</f>
        <v>102-10-14</v>
      </c>
      <c r="F238" t="s">
        <v>27</v>
      </c>
      <c r="G238" t="s">
        <v>28</v>
      </c>
      <c r="H238">
        <v>1</v>
      </c>
      <c r="Q238">
        <v>0</v>
      </c>
      <c r="R238">
        <v>1</v>
      </c>
      <c r="S238">
        <v>0</v>
      </c>
      <c r="T238">
        <v>1</v>
      </c>
      <c r="U238">
        <v>1</v>
      </c>
      <c r="V238">
        <v>0</v>
      </c>
    </row>
    <row r="239" spans="1:26" x14ac:dyDescent="0.25">
      <c r="A239" t="str">
        <f>"235"</f>
        <v>235</v>
      </c>
      <c r="B239" t="str">
        <f t="shared" si="11"/>
        <v>102</v>
      </c>
      <c r="C239" t="str">
        <f t="shared" si="13"/>
        <v>10</v>
      </c>
      <c r="D239" t="str">
        <f>"5"</f>
        <v>5</v>
      </c>
      <c r="E239" t="str">
        <f>"102-10-5"</f>
        <v>102-10-5</v>
      </c>
      <c r="F239" t="s">
        <v>27</v>
      </c>
      <c r="G239" t="s">
        <v>28</v>
      </c>
      <c r="H239">
        <v>1</v>
      </c>
      <c r="Q239">
        <v>1</v>
      </c>
      <c r="R239">
        <v>0</v>
      </c>
      <c r="S239">
        <v>0</v>
      </c>
      <c r="T239">
        <v>1</v>
      </c>
      <c r="U239">
        <v>0</v>
      </c>
      <c r="V239">
        <v>1</v>
      </c>
    </row>
    <row r="240" spans="1:26" x14ac:dyDescent="0.25">
      <c r="A240" t="str">
        <f>"236"</f>
        <v>236</v>
      </c>
      <c r="B240" t="str">
        <f t="shared" si="11"/>
        <v>102</v>
      </c>
      <c r="C240" t="str">
        <f t="shared" si="13"/>
        <v>10</v>
      </c>
      <c r="D240" t="str">
        <f>"15"</f>
        <v>15</v>
      </c>
      <c r="E240" t="str">
        <f>"102-10-15"</f>
        <v>102-10-15</v>
      </c>
      <c r="F240" t="s">
        <v>27</v>
      </c>
      <c r="G240" t="s">
        <v>28</v>
      </c>
      <c r="H240">
        <v>1</v>
      </c>
      <c r="Q240">
        <v>1</v>
      </c>
      <c r="R240">
        <v>0</v>
      </c>
      <c r="S240">
        <v>0</v>
      </c>
      <c r="T240">
        <v>1</v>
      </c>
      <c r="U240">
        <v>1</v>
      </c>
      <c r="V240">
        <v>0</v>
      </c>
    </row>
    <row r="241" spans="1:22" x14ac:dyDescent="0.25">
      <c r="A241" t="str">
        <f>"237"</f>
        <v>237</v>
      </c>
      <c r="B241" t="str">
        <f t="shared" si="11"/>
        <v>102</v>
      </c>
      <c r="C241" t="str">
        <f t="shared" si="13"/>
        <v>10</v>
      </c>
      <c r="D241" t="str">
        <f>"10"</f>
        <v>10</v>
      </c>
      <c r="E241" t="str">
        <f>"102-10-10"</f>
        <v>102-10-10</v>
      </c>
      <c r="F241" t="s">
        <v>27</v>
      </c>
      <c r="G241" t="s">
        <v>28</v>
      </c>
      <c r="H241">
        <v>1</v>
      </c>
      <c r="Q241">
        <v>0</v>
      </c>
      <c r="R241">
        <v>1</v>
      </c>
      <c r="S241">
        <v>0</v>
      </c>
      <c r="T241">
        <v>1</v>
      </c>
      <c r="U241">
        <v>0</v>
      </c>
      <c r="V241">
        <v>1</v>
      </c>
    </row>
    <row r="242" spans="1:22" x14ac:dyDescent="0.25">
      <c r="A242" t="str">
        <f>"238"</f>
        <v>238</v>
      </c>
      <c r="B242" t="str">
        <f t="shared" si="11"/>
        <v>102</v>
      </c>
      <c r="C242" t="str">
        <f t="shared" si="13"/>
        <v>10</v>
      </c>
      <c r="D242" t="str">
        <f>"24"</f>
        <v>24</v>
      </c>
      <c r="E242" t="str">
        <f>"102-10-24"</f>
        <v>102-10-24</v>
      </c>
      <c r="F242" t="s">
        <v>27</v>
      </c>
      <c r="G242" t="s">
        <v>28</v>
      </c>
      <c r="H242">
        <v>1</v>
      </c>
      <c r="Q242">
        <v>0</v>
      </c>
      <c r="R242">
        <v>1</v>
      </c>
      <c r="S242">
        <v>0</v>
      </c>
      <c r="T242">
        <v>1</v>
      </c>
      <c r="U242">
        <v>1</v>
      </c>
      <c r="V242">
        <v>0</v>
      </c>
    </row>
    <row r="243" spans="1:22" x14ac:dyDescent="0.25">
      <c r="A243" t="str">
        <f>"239"</f>
        <v>239</v>
      </c>
      <c r="B243" t="str">
        <f t="shared" si="11"/>
        <v>102</v>
      </c>
      <c r="C243" t="str">
        <f t="shared" si="13"/>
        <v>10</v>
      </c>
      <c r="D243" t="str">
        <f>"16"</f>
        <v>16</v>
      </c>
      <c r="E243" t="str">
        <f>"102-10-16"</f>
        <v>102-10-16</v>
      </c>
      <c r="F243" t="s">
        <v>27</v>
      </c>
      <c r="G243" t="s">
        <v>28</v>
      </c>
      <c r="H243">
        <v>1</v>
      </c>
      <c r="Q243">
        <v>1</v>
      </c>
      <c r="R243">
        <v>0</v>
      </c>
      <c r="S243">
        <v>1</v>
      </c>
      <c r="T243">
        <v>0</v>
      </c>
      <c r="U243">
        <v>0</v>
      </c>
      <c r="V243">
        <v>1</v>
      </c>
    </row>
    <row r="244" spans="1:22" x14ac:dyDescent="0.25">
      <c r="A244" t="str">
        <f>"240"</f>
        <v>240</v>
      </c>
      <c r="B244" t="str">
        <f t="shared" si="11"/>
        <v>102</v>
      </c>
      <c r="C244" t="str">
        <f t="shared" si="13"/>
        <v>10</v>
      </c>
      <c r="D244" t="str">
        <f>"9"</f>
        <v>9</v>
      </c>
      <c r="E244" t="str">
        <f>"102-10-9"</f>
        <v>102-10-9</v>
      </c>
      <c r="F244" t="s">
        <v>27</v>
      </c>
      <c r="G244" t="s">
        <v>28</v>
      </c>
      <c r="H244">
        <v>1</v>
      </c>
      <c r="Q244">
        <v>0</v>
      </c>
      <c r="R244">
        <v>1</v>
      </c>
      <c r="S244">
        <v>0</v>
      </c>
      <c r="T244">
        <v>1</v>
      </c>
      <c r="U244">
        <v>1</v>
      </c>
      <c r="V244">
        <v>0</v>
      </c>
    </row>
    <row r="245" spans="1:22" x14ac:dyDescent="0.25">
      <c r="A245" t="str">
        <f>"241"</f>
        <v>241</v>
      </c>
      <c r="B245" t="str">
        <f t="shared" si="11"/>
        <v>102</v>
      </c>
      <c r="C245" t="str">
        <f t="shared" si="13"/>
        <v>10</v>
      </c>
      <c r="D245" t="str">
        <f>"25"</f>
        <v>25</v>
      </c>
      <c r="E245" t="str">
        <f>"102-10-25"</f>
        <v>102-10-25</v>
      </c>
      <c r="F245" t="s">
        <v>27</v>
      </c>
      <c r="G245" t="s">
        <v>28</v>
      </c>
      <c r="H245">
        <v>1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1</v>
      </c>
    </row>
    <row r="246" spans="1:22" x14ac:dyDescent="0.25">
      <c r="A246" t="str">
        <f>"242"</f>
        <v>242</v>
      </c>
      <c r="B246" t="str">
        <f t="shared" si="11"/>
        <v>102</v>
      </c>
      <c r="C246" t="str">
        <f t="shared" si="13"/>
        <v>10</v>
      </c>
      <c r="D246" t="str">
        <f>"17"</f>
        <v>17</v>
      </c>
      <c r="E246" t="str">
        <f>"102-10-17"</f>
        <v>102-10-17</v>
      </c>
      <c r="F246" t="s">
        <v>27</v>
      </c>
      <c r="G246" t="s">
        <v>28</v>
      </c>
      <c r="H246">
        <v>1</v>
      </c>
      <c r="Q246">
        <v>0</v>
      </c>
      <c r="R246">
        <v>1</v>
      </c>
      <c r="S246">
        <v>0</v>
      </c>
      <c r="T246">
        <v>1</v>
      </c>
      <c r="U246">
        <v>0</v>
      </c>
      <c r="V246">
        <v>1</v>
      </c>
    </row>
    <row r="247" spans="1:22" x14ac:dyDescent="0.25">
      <c r="A247" t="str">
        <f>"243"</f>
        <v>243</v>
      </c>
      <c r="B247" t="str">
        <f t="shared" si="11"/>
        <v>102</v>
      </c>
      <c r="C247" t="str">
        <f t="shared" si="13"/>
        <v>10</v>
      </c>
      <c r="D247" t="str">
        <f>"7"</f>
        <v>7</v>
      </c>
      <c r="E247" t="str">
        <f>"102-10-7"</f>
        <v>102-10-7</v>
      </c>
      <c r="F247" t="s">
        <v>27</v>
      </c>
      <c r="G247" t="s">
        <v>28</v>
      </c>
      <c r="H247">
        <v>1</v>
      </c>
      <c r="Q247">
        <v>0</v>
      </c>
      <c r="R247">
        <v>1</v>
      </c>
      <c r="S247">
        <v>0</v>
      </c>
      <c r="T247">
        <v>1</v>
      </c>
      <c r="U247">
        <v>0</v>
      </c>
      <c r="V247">
        <v>1</v>
      </c>
    </row>
    <row r="248" spans="1:22" x14ac:dyDescent="0.25">
      <c r="A248" t="str">
        <f>"244"</f>
        <v>244</v>
      </c>
      <c r="B248" t="str">
        <f t="shared" si="11"/>
        <v>102</v>
      </c>
      <c r="C248" t="str">
        <f t="shared" si="13"/>
        <v>10</v>
      </c>
      <c r="D248" t="str">
        <f>"21"</f>
        <v>21</v>
      </c>
      <c r="E248" t="str">
        <f>"102-10-21"</f>
        <v>102-10-21</v>
      </c>
      <c r="F248" t="s">
        <v>27</v>
      </c>
      <c r="G248" t="s">
        <v>28</v>
      </c>
      <c r="H248">
        <v>1</v>
      </c>
      <c r="Q248">
        <v>0</v>
      </c>
      <c r="R248">
        <v>1</v>
      </c>
      <c r="S248">
        <v>0</v>
      </c>
      <c r="T248">
        <v>1</v>
      </c>
      <c r="U248">
        <v>1</v>
      </c>
      <c r="V248">
        <v>0</v>
      </c>
    </row>
    <row r="249" spans="1:22" x14ac:dyDescent="0.25">
      <c r="A249" t="str">
        <f>"245"</f>
        <v>245</v>
      </c>
      <c r="B249" t="str">
        <f t="shared" si="11"/>
        <v>102</v>
      </c>
      <c r="C249" t="str">
        <f t="shared" si="13"/>
        <v>10</v>
      </c>
      <c r="D249" t="str">
        <f>"18"</f>
        <v>18</v>
      </c>
      <c r="E249" t="str">
        <f>"102-10-18"</f>
        <v>102-10-18</v>
      </c>
      <c r="F249" t="s">
        <v>27</v>
      </c>
      <c r="G249" t="s">
        <v>28</v>
      </c>
      <c r="H249">
        <v>1</v>
      </c>
      <c r="Q249">
        <v>1</v>
      </c>
      <c r="R249">
        <v>0</v>
      </c>
      <c r="S249">
        <v>1</v>
      </c>
      <c r="T249">
        <v>0</v>
      </c>
      <c r="U249">
        <v>1</v>
      </c>
      <c r="V249">
        <v>0</v>
      </c>
    </row>
    <row r="250" spans="1:22" x14ac:dyDescent="0.25">
      <c r="A250" t="str">
        <f>"246"</f>
        <v>246</v>
      </c>
      <c r="B250" t="str">
        <f t="shared" si="11"/>
        <v>102</v>
      </c>
      <c r="C250" t="str">
        <f t="shared" si="13"/>
        <v>10</v>
      </c>
      <c r="D250" t="str">
        <f>"6"</f>
        <v>6</v>
      </c>
      <c r="E250" t="str">
        <f>"102-10-6"</f>
        <v>102-10-6</v>
      </c>
      <c r="F250" t="s">
        <v>27</v>
      </c>
      <c r="G250" t="s">
        <v>28</v>
      </c>
      <c r="H250">
        <v>1</v>
      </c>
      <c r="Q250">
        <v>0</v>
      </c>
      <c r="R250">
        <v>1</v>
      </c>
      <c r="S250">
        <v>0</v>
      </c>
      <c r="T250">
        <v>1</v>
      </c>
      <c r="U250">
        <v>0</v>
      </c>
      <c r="V250">
        <v>1</v>
      </c>
    </row>
    <row r="251" spans="1:22" x14ac:dyDescent="0.25">
      <c r="A251" t="str">
        <f>"247"</f>
        <v>247</v>
      </c>
      <c r="B251" t="str">
        <f t="shared" si="11"/>
        <v>102</v>
      </c>
      <c r="C251" t="str">
        <f t="shared" si="13"/>
        <v>10</v>
      </c>
      <c r="D251" t="str">
        <f>"19"</f>
        <v>19</v>
      </c>
      <c r="E251" t="str">
        <f>"102-10-19"</f>
        <v>102-10-19</v>
      </c>
      <c r="F251" t="s">
        <v>27</v>
      </c>
      <c r="G251" t="s">
        <v>28</v>
      </c>
      <c r="H251">
        <v>1</v>
      </c>
      <c r="Q251">
        <v>1</v>
      </c>
      <c r="R251">
        <v>0</v>
      </c>
      <c r="S251">
        <v>1</v>
      </c>
      <c r="T251">
        <v>0</v>
      </c>
      <c r="U251">
        <v>0</v>
      </c>
      <c r="V251">
        <v>1</v>
      </c>
    </row>
    <row r="252" spans="1:22" x14ac:dyDescent="0.25">
      <c r="A252" t="str">
        <f>"248"</f>
        <v>248</v>
      </c>
      <c r="B252" t="str">
        <f t="shared" si="11"/>
        <v>102</v>
      </c>
      <c r="C252" t="str">
        <f t="shared" si="13"/>
        <v>10</v>
      </c>
      <c r="D252" t="str">
        <f>"1"</f>
        <v>1</v>
      </c>
      <c r="E252" t="str">
        <f>"102-10-1"</f>
        <v>102-10-1</v>
      </c>
      <c r="F252" t="s">
        <v>27</v>
      </c>
      <c r="G252" t="s">
        <v>28</v>
      </c>
      <c r="H252">
        <v>1</v>
      </c>
      <c r="Q252">
        <v>0</v>
      </c>
      <c r="R252">
        <v>1</v>
      </c>
      <c r="S252">
        <v>0</v>
      </c>
      <c r="T252">
        <v>1</v>
      </c>
      <c r="U252">
        <v>0</v>
      </c>
      <c r="V252">
        <v>1</v>
      </c>
    </row>
    <row r="253" spans="1:22" x14ac:dyDescent="0.25">
      <c r="A253" t="str">
        <f>"249"</f>
        <v>249</v>
      </c>
      <c r="B253" t="str">
        <f t="shared" si="11"/>
        <v>102</v>
      </c>
      <c r="C253" t="str">
        <f t="shared" si="13"/>
        <v>10</v>
      </c>
      <c r="D253" t="str">
        <f>"20"</f>
        <v>20</v>
      </c>
      <c r="E253" t="str">
        <f>"102-10-20"</f>
        <v>102-10-20</v>
      </c>
      <c r="F253" t="s">
        <v>27</v>
      </c>
      <c r="G253" t="s">
        <v>28</v>
      </c>
      <c r="H253">
        <v>1</v>
      </c>
      <c r="Q253">
        <v>0</v>
      </c>
      <c r="R253">
        <v>1</v>
      </c>
      <c r="S253">
        <v>0</v>
      </c>
      <c r="T253">
        <v>1</v>
      </c>
      <c r="U253">
        <v>0</v>
      </c>
      <c r="V253">
        <v>1</v>
      </c>
    </row>
    <row r="254" spans="1:22" x14ac:dyDescent="0.25">
      <c r="A254" t="str">
        <f>"250"</f>
        <v>250</v>
      </c>
      <c r="B254" t="str">
        <f t="shared" si="11"/>
        <v>102</v>
      </c>
      <c r="C254" t="str">
        <f t="shared" si="13"/>
        <v>10</v>
      </c>
      <c r="D254" t="str">
        <f>"4"</f>
        <v>4</v>
      </c>
      <c r="E254" t="str">
        <f>"102-10-4"</f>
        <v>102-10-4</v>
      </c>
      <c r="F254" t="s">
        <v>27</v>
      </c>
      <c r="G254" t="s">
        <v>28</v>
      </c>
      <c r="H254">
        <v>1</v>
      </c>
      <c r="Q254">
        <v>1</v>
      </c>
      <c r="R254">
        <v>0</v>
      </c>
      <c r="S254">
        <v>1</v>
      </c>
      <c r="T254">
        <v>0</v>
      </c>
      <c r="U254">
        <v>1</v>
      </c>
      <c r="V254">
        <v>0</v>
      </c>
    </row>
    <row r="255" spans="1:22" x14ac:dyDescent="0.25">
      <c r="A255" t="str">
        <f>"251"</f>
        <v>251</v>
      </c>
      <c r="B255" t="str">
        <f t="shared" si="11"/>
        <v>102</v>
      </c>
      <c r="C255" t="str">
        <f t="shared" ref="C255:C279" si="14">"11"</f>
        <v>11</v>
      </c>
      <c r="D255" t="str">
        <f>"23"</f>
        <v>23</v>
      </c>
      <c r="E255" t="str">
        <f>"102-11-23"</f>
        <v>102-11-23</v>
      </c>
      <c r="F255" t="s">
        <v>27</v>
      </c>
      <c r="G255" t="s">
        <v>28</v>
      </c>
      <c r="H255">
        <v>1</v>
      </c>
      <c r="Q255">
        <v>0</v>
      </c>
      <c r="R255">
        <v>1</v>
      </c>
      <c r="S255">
        <v>0</v>
      </c>
      <c r="T255">
        <v>1</v>
      </c>
      <c r="U255">
        <v>0</v>
      </c>
      <c r="V255">
        <v>1</v>
      </c>
    </row>
    <row r="256" spans="1:22" x14ac:dyDescent="0.25">
      <c r="A256" t="str">
        <f>"252"</f>
        <v>252</v>
      </c>
      <c r="B256" t="str">
        <f t="shared" si="11"/>
        <v>102</v>
      </c>
      <c r="C256" t="str">
        <f t="shared" si="14"/>
        <v>11</v>
      </c>
      <c r="D256" t="str">
        <f>"11"</f>
        <v>11</v>
      </c>
      <c r="E256" t="str">
        <f>"102-11-11"</f>
        <v>102-11-11</v>
      </c>
      <c r="F256" t="s">
        <v>27</v>
      </c>
      <c r="G256" t="s">
        <v>28</v>
      </c>
      <c r="H256">
        <v>1</v>
      </c>
      <c r="Q256">
        <v>1</v>
      </c>
      <c r="R256">
        <v>0</v>
      </c>
      <c r="S256">
        <v>0</v>
      </c>
      <c r="T256">
        <v>1</v>
      </c>
      <c r="U256">
        <v>0</v>
      </c>
      <c r="V256">
        <v>1</v>
      </c>
    </row>
    <row r="257" spans="1:26" x14ac:dyDescent="0.25">
      <c r="A257" t="str">
        <f>"253"</f>
        <v>253</v>
      </c>
      <c r="B257" t="str">
        <f t="shared" si="11"/>
        <v>102</v>
      </c>
      <c r="C257" t="str">
        <f t="shared" si="14"/>
        <v>11</v>
      </c>
      <c r="D257" t="str">
        <f>"8"</f>
        <v>8</v>
      </c>
      <c r="E257" t="str">
        <f>"102-11-8"</f>
        <v>102-11-8</v>
      </c>
      <c r="F257" t="s">
        <v>27</v>
      </c>
      <c r="G257" t="s">
        <v>28</v>
      </c>
      <c r="H257">
        <v>1</v>
      </c>
      <c r="Q257">
        <v>0</v>
      </c>
      <c r="R257">
        <v>1</v>
      </c>
      <c r="S257">
        <v>0</v>
      </c>
      <c r="T257">
        <v>1</v>
      </c>
      <c r="U257">
        <v>0</v>
      </c>
      <c r="V257">
        <v>1</v>
      </c>
    </row>
    <row r="258" spans="1:26" x14ac:dyDescent="0.25">
      <c r="A258" t="str">
        <f>"254"</f>
        <v>254</v>
      </c>
      <c r="B258" t="str">
        <f t="shared" si="11"/>
        <v>102</v>
      </c>
      <c r="C258" t="str">
        <f t="shared" si="14"/>
        <v>11</v>
      </c>
      <c r="D258" t="str">
        <f>"21"</f>
        <v>21</v>
      </c>
      <c r="E258" t="str">
        <f>"102-11-21"</f>
        <v>102-11-21</v>
      </c>
      <c r="F258" t="s">
        <v>27</v>
      </c>
      <c r="G258" t="s">
        <v>28</v>
      </c>
      <c r="H258">
        <v>1</v>
      </c>
      <c r="Q258">
        <v>0</v>
      </c>
      <c r="R258">
        <v>1</v>
      </c>
      <c r="S258">
        <v>0</v>
      </c>
      <c r="T258">
        <v>1</v>
      </c>
      <c r="U258">
        <v>0</v>
      </c>
      <c r="V258">
        <v>1</v>
      </c>
    </row>
    <row r="259" spans="1:26" x14ac:dyDescent="0.25">
      <c r="A259" t="str">
        <f>"255"</f>
        <v>255</v>
      </c>
      <c r="B259" t="str">
        <f t="shared" si="11"/>
        <v>102</v>
      </c>
      <c r="C259" t="str">
        <f t="shared" si="14"/>
        <v>11</v>
      </c>
      <c r="D259" t="str">
        <f>"12"</f>
        <v>12</v>
      </c>
      <c r="E259" t="str">
        <f>"102-11-12"</f>
        <v>102-11-12</v>
      </c>
      <c r="F259" t="s">
        <v>27</v>
      </c>
      <c r="G259" t="s">
        <v>28</v>
      </c>
      <c r="H259">
        <v>1</v>
      </c>
      <c r="Q259">
        <v>0</v>
      </c>
      <c r="R259">
        <v>1</v>
      </c>
      <c r="S259">
        <v>0</v>
      </c>
      <c r="T259">
        <v>1</v>
      </c>
      <c r="U259">
        <v>0</v>
      </c>
      <c r="V259">
        <v>1</v>
      </c>
    </row>
    <row r="260" spans="1:26" x14ac:dyDescent="0.25">
      <c r="A260" t="str">
        <f>"256"</f>
        <v>256</v>
      </c>
      <c r="B260" t="str">
        <f t="shared" si="11"/>
        <v>102</v>
      </c>
      <c r="C260" t="str">
        <f t="shared" si="14"/>
        <v>11</v>
      </c>
      <c r="D260" t="str">
        <f>"3"</f>
        <v>3</v>
      </c>
      <c r="E260" t="str">
        <f>"102-11-3"</f>
        <v>102-11-3</v>
      </c>
      <c r="F260" t="s">
        <v>27</v>
      </c>
      <c r="G260" t="s">
        <v>28</v>
      </c>
      <c r="H260">
        <v>1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1</v>
      </c>
    </row>
    <row r="261" spans="1:26" x14ac:dyDescent="0.25">
      <c r="A261" t="str">
        <f>"257"</f>
        <v>257</v>
      </c>
      <c r="B261" t="str">
        <f t="shared" ref="B261:B324" si="15">"102"</f>
        <v>102</v>
      </c>
      <c r="C261" t="str">
        <f t="shared" si="14"/>
        <v>11</v>
      </c>
      <c r="D261" t="str">
        <f>"22"</f>
        <v>22</v>
      </c>
      <c r="E261" t="str">
        <f>"102-11-22"</f>
        <v>102-11-22</v>
      </c>
      <c r="F261" t="s">
        <v>27</v>
      </c>
      <c r="G261" t="s">
        <v>28</v>
      </c>
      <c r="H261">
        <v>1</v>
      </c>
      <c r="Q261">
        <v>0</v>
      </c>
      <c r="R261">
        <v>1</v>
      </c>
      <c r="S261">
        <v>0</v>
      </c>
      <c r="T261">
        <v>1</v>
      </c>
      <c r="U261">
        <v>0</v>
      </c>
      <c r="V261">
        <v>1</v>
      </c>
    </row>
    <row r="262" spans="1:26" x14ac:dyDescent="0.25">
      <c r="A262" t="str">
        <f>"258"</f>
        <v>258</v>
      </c>
      <c r="B262" t="str">
        <f t="shared" si="15"/>
        <v>102</v>
      </c>
      <c r="C262" t="str">
        <f t="shared" si="14"/>
        <v>11</v>
      </c>
      <c r="D262" t="str">
        <f>"13"</f>
        <v>13</v>
      </c>
      <c r="E262" t="str">
        <f>"102-11-13"</f>
        <v>102-11-13</v>
      </c>
      <c r="F262" t="s">
        <v>27</v>
      </c>
      <c r="G262" t="s">
        <v>28</v>
      </c>
      <c r="H262">
        <v>1</v>
      </c>
      <c r="Q262">
        <v>1</v>
      </c>
      <c r="R262">
        <v>0</v>
      </c>
      <c r="S262">
        <v>0</v>
      </c>
      <c r="T262">
        <v>1</v>
      </c>
      <c r="U262">
        <v>0</v>
      </c>
      <c r="V262">
        <v>1</v>
      </c>
    </row>
    <row r="263" spans="1:26" x14ac:dyDescent="0.25">
      <c r="A263" t="str">
        <f>"259"</f>
        <v>259</v>
      </c>
      <c r="B263" t="str">
        <f t="shared" si="15"/>
        <v>102</v>
      </c>
      <c r="C263" t="str">
        <f t="shared" si="14"/>
        <v>11</v>
      </c>
      <c r="D263" t="str">
        <f>"5"</f>
        <v>5</v>
      </c>
      <c r="E263" t="str">
        <f>"102-11-5"</f>
        <v>102-11-5</v>
      </c>
      <c r="F263" t="s">
        <v>27</v>
      </c>
      <c r="G263" t="s">
        <v>28</v>
      </c>
      <c r="H263">
        <v>1</v>
      </c>
      <c r="Q263">
        <v>1</v>
      </c>
      <c r="R263">
        <v>0</v>
      </c>
      <c r="S263">
        <v>1</v>
      </c>
      <c r="T263">
        <v>0</v>
      </c>
      <c r="U263">
        <v>0</v>
      </c>
      <c r="V263">
        <v>1</v>
      </c>
    </row>
    <row r="264" spans="1:26" x14ac:dyDescent="0.25">
      <c r="A264" t="str">
        <f>"260"</f>
        <v>260</v>
      </c>
      <c r="B264" t="str">
        <f t="shared" si="15"/>
        <v>102</v>
      </c>
      <c r="C264" t="str">
        <f t="shared" si="14"/>
        <v>11</v>
      </c>
      <c r="D264" t="str">
        <f>"14"</f>
        <v>14</v>
      </c>
      <c r="E264" t="str">
        <f>"102-11-14"</f>
        <v>102-11-14</v>
      </c>
      <c r="F264" t="s">
        <v>27</v>
      </c>
      <c r="G264" t="s">
        <v>29</v>
      </c>
      <c r="H264">
        <v>3</v>
      </c>
      <c r="M264">
        <v>0</v>
      </c>
      <c r="N264">
        <v>0</v>
      </c>
      <c r="O264">
        <v>0</v>
      </c>
      <c r="P264">
        <v>0</v>
      </c>
      <c r="Q264">
        <v>1</v>
      </c>
      <c r="R264">
        <v>0</v>
      </c>
      <c r="S264">
        <v>1</v>
      </c>
      <c r="T264">
        <v>0</v>
      </c>
      <c r="U264">
        <v>1</v>
      </c>
      <c r="V264">
        <v>0</v>
      </c>
      <c r="Y264">
        <v>1</v>
      </c>
      <c r="Z264">
        <v>0</v>
      </c>
    </row>
    <row r="265" spans="1:26" x14ac:dyDescent="0.25">
      <c r="A265" t="str">
        <f>"261"</f>
        <v>261</v>
      </c>
      <c r="B265" t="str">
        <f t="shared" si="15"/>
        <v>102</v>
      </c>
      <c r="C265" t="str">
        <f t="shared" si="14"/>
        <v>11</v>
      </c>
      <c r="D265" t="str">
        <f>"9"</f>
        <v>9</v>
      </c>
      <c r="E265" t="str">
        <f>"102-11-9"</f>
        <v>102-11-9</v>
      </c>
      <c r="F265" t="s">
        <v>27</v>
      </c>
      <c r="G265" t="s">
        <v>28</v>
      </c>
      <c r="H265">
        <v>1</v>
      </c>
      <c r="Q265">
        <v>0</v>
      </c>
      <c r="R265">
        <v>1</v>
      </c>
      <c r="S265">
        <v>0</v>
      </c>
      <c r="T265">
        <v>1</v>
      </c>
      <c r="U265">
        <v>0</v>
      </c>
      <c r="V265">
        <v>1</v>
      </c>
    </row>
    <row r="266" spans="1:26" x14ac:dyDescent="0.25">
      <c r="A266" t="str">
        <f>"262"</f>
        <v>262</v>
      </c>
      <c r="B266" t="str">
        <f t="shared" si="15"/>
        <v>102</v>
      </c>
      <c r="C266" t="str">
        <f t="shared" si="14"/>
        <v>11</v>
      </c>
      <c r="D266" t="str">
        <f>"24"</f>
        <v>24</v>
      </c>
      <c r="E266" t="str">
        <f>"102-11-24"</f>
        <v>102-11-24</v>
      </c>
      <c r="F266" t="s">
        <v>27</v>
      </c>
      <c r="G266" t="s">
        <v>28</v>
      </c>
      <c r="H266">
        <v>1</v>
      </c>
      <c r="Q266">
        <v>1</v>
      </c>
      <c r="R266">
        <v>0</v>
      </c>
      <c r="S266">
        <v>0</v>
      </c>
      <c r="T266">
        <v>1</v>
      </c>
      <c r="U266">
        <v>0</v>
      </c>
      <c r="V266">
        <v>1</v>
      </c>
    </row>
    <row r="267" spans="1:26" x14ac:dyDescent="0.25">
      <c r="A267" t="str">
        <f>"263"</f>
        <v>263</v>
      </c>
      <c r="B267" t="str">
        <f t="shared" si="15"/>
        <v>102</v>
      </c>
      <c r="C267" t="str">
        <f t="shared" si="14"/>
        <v>11</v>
      </c>
      <c r="D267" t="str">
        <f>"15"</f>
        <v>15</v>
      </c>
      <c r="E267" t="str">
        <f>"102-11-15"</f>
        <v>102-11-15</v>
      </c>
      <c r="F267" t="s">
        <v>27</v>
      </c>
      <c r="G267" t="s">
        <v>28</v>
      </c>
      <c r="H267">
        <v>1</v>
      </c>
      <c r="Q267">
        <v>0</v>
      </c>
      <c r="R267">
        <v>1</v>
      </c>
      <c r="S267">
        <v>0</v>
      </c>
      <c r="T267">
        <v>1</v>
      </c>
      <c r="U267">
        <v>0</v>
      </c>
      <c r="V267">
        <v>1</v>
      </c>
    </row>
    <row r="268" spans="1:26" x14ac:dyDescent="0.25">
      <c r="A268" t="str">
        <f>"264"</f>
        <v>264</v>
      </c>
      <c r="B268" t="str">
        <f t="shared" si="15"/>
        <v>102</v>
      </c>
      <c r="C268" t="str">
        <f t="shared" si="14"/>
        <v>11</v>
      </c>
      <c r="D268" t="str">
        <f>"1"</f>
        <v>1</v>
      </c>
      <c r="E268" t="str">
        <f>"102-11-1"</f>
        <v>102-11-1</v>
      </c>
      <c r="F268" t="s">
        <v>27</v>
      </c>
      <c r="G268" t="s">
        <v>30</v>
      </c>
      <c r="H268">
        <v>2</v>
      </c>
      <c r="I268">
        <v>1</v>
      </c>
      <c r="J268">
        <v>1</v>
      </c>
      <c r="K268">
        <v>1</v>
      </c>
      <c r="L268">
        <v>1</v>
      </c>
      <c r="Q268">
        <v>0</v>
      </c>
      <c r="R268">
        <v>1</v>
      </c>
      <c r="S268">
        <v>0</v>
      </c>
      <c r="T268">
        <v>1</v>
      </c>
      <c r="U268">
        <v>0</v>
      </c>
      <c r="V268">
        <v>1</v>
      </c>
      <c r="W268">
        <v>0</v>
      </c>
      <c r="X268">
        <v>1</v>
      </c>
    </row>
    <row r="269" spans="1:26" x14ac:dyDescent="0.25">
      <c r="A269" t="str">
        <f>"265"</f>
        <v>265</v>
      </c>
      <c r="B269" t="str">
        <f t="shared" si="15"/>
        <v>102</v>
      </c>
      <c r="C269" t="str">
        <f t="shared" si="14"/>
        <v>11</v>
      </c>
      <c r="D269" t="str">
        <f>"16"</f>
        <v>16</v>
      </c>
      <c r="E269" t="str">
        <f>"102-11-16"</f>
        <v>102-11-16</v>
      </c>
      <c r="F269" t="s">
        <v>27</v>
      </c>
      <c r="G269" t="s">
        <v>28</v>
      </c>
      <c r="H269">
        <v>1</v>
      </c>
      <c r="Q269">
        <v>0</v>
      </c>
      <c r="R269">
        <v>1</v>
      </c>
      <c r="S269">
        <v>0</v>
      </c>
      <c r="T269">
        <v>1</v>
      </c>
      <c r="U269">
        <v>1</v>
      </c>
      <c r="V269">
        <v>0</v>
      </c>
    </row>
    <row r="270" spans="1:26" x14ac:dyDescent="0.25">
      <c r="A270" t="str">
        <f>"266"</f>
        <v>266</v>
      </c>
      <c r="B270" t="str">
        <f t="shared" si="15"/>
        <v>102</v>
      </c>
      <c r="C270" t="str">
        <f t="shared" si="14"/>
        <v>11</v>
      </c>
      <c r="D270" t="str">
        <f>"10"</f>
        <v>10</v>
      </c>
      <c r="E270" t="str">
        <f>"102-11-10"</f>
        <v>102-11-10</v>
      </c>
      <c r="F270" t="s">
        <v>27</v>
      </c>
      <c r="G270" t="s">
        <v>28</v>
      </c>
      <c r="H270">
        <v>1</v>
      </c>
      <c r="Q270">
        <v>0</v>
      </c>
      <c r="R270">
        <v>1</v>
      </c>
      <c r="S270">
        <v>0</v>
      </c>
      <c r="T270">
        <v>1</v>
      </c>
      <c r="U270">
        <v>0</v>
      </c>
      <c r="V270">
        <v>1</v>
      </c>
    </row>
    <row r="271" spans="1:26" x14ac:dyDescent="0.25">
      <c r="A271" t="str">
        <f>"267"</f>
        <v>267</v>
      </c>
      <c r="B271" t="str">
        <f t="shared" si="15"/>
        <v>102</v>
      </c>
      <c r="C271" t="str">
        <f t="shared" si="14"/>
        <v>11</v>
      </c>
      <c r="D271" t="str">
        <f>"17"</f>
        <v>17</v>
      </c>
      <c r="E271" t="str">
        <f>"102-11-17"</f>
        <v>102-11-17</v>
      </c>
      <c r="F271" t="s">
        <v>27</v>
      </c>
      <c r="G271" t="s">
        <v>28</v>
      </c>
      <c r="H271">
        <v>1</v>
      </c>
      <c r="Q271">
        <v>0</v>
      </c>
      <c r="R271">
        <v>1</v>
      </c>
      <c r="S271">
        <v>0</v>
      </c>
      <c r="T271">
        <v>1</v>
      </c>
      <c r="U271">
        <v>0</v>
      </c>
      <c r="V271">
        <v>1</v>
      </c>
    </row>
    <row r="272" spans="1:26" x14ac:dyDescent="0.25">
      <c r="A272" t="str">
        <f>"268"</f>
        <v>268</v>
      </c>
      <c r="B272" t="str">
        <f t="shared" si="15"/>
        <v>102</v>
      </c>
      <c r="C272" t="str">
        <f t="shared" si="14"/>
        <v>11</v>
      </c>
      <c r="D272" t="str">
        <f>"7"</f>
        <v>7</v>
      </c>
      <c r="E272" t="str">
        <f>"102-11-7"</f>
        <v>102-11-7</v>
      </c>
      <c r="F272" t="s">
        <v>27</v>
      </c>
      <c r="G272" t="s">
        <v>28</v>
      </c>
      <c r="H272">
        <v>1</v>
      </c>
      <c r="Q272">
        <v>0</v>
      </c>
      <c r="R272">
        <v>1</v>
      </c>
      <c r="S272">
        <v>0</v>
      </c>
      <c r="T272">
        <v>1</v>
      </c>
      <c r="U272">
        <v>0</v>
      </c>
      <c r="V272">
        <v>1</v>
      </c>
    </row>
    <row r="273" spans="1:26" x14ac:dyDescent="0.25">
      <c r="A273" t="str">
        <f>"269"</f>
        <v>269</v>
      </c>
      <c r="B273" t="str">
        <f t="shared" si="15"/>
        <v>102</v>
      </c>
      <c r="C273" t="str">
        <f t="shared" si="14"/>
        <v>11</v>
      </c>
      <c r="D273" t="str">
        <f>"25"</f>
        <v>25</v>
      </c>
      <c r="E273" t="str">
        <f>"102-11-25"</f>
        <v>102-11-25</v>
      </c>
      <c r="F273" t="s">
        <v>27</v>
      </c>
      <c r="G273" t="s">
        <v>28</v>
      </c>
      <c r="H273">
        <v>1</v>
      </c>
      <c r="Q273">
        <v>0</v>
      </c>
      <c r="R273">
        <v>1</v>
      </c>
      <c r="S273">
        <v>0</v>
      </c>
      <c r="T273">
        <v>1</v>
      </c>
      <c r="U273">
        <v>0</v>
      </c>
      <c r="V273">
        <v>1</v>
      </c>
    </row>
    <row r="274" spans="1:26" x14ac:dyDescent="0.25">
      <c r="A274" t="str">
        <f>"270"</f>
        <v>270</v>
      </c>
      <c r="B274" t="str">
        <f t="shared" si="15"/>
        <v>102</v>
      </c>
      <c r="C274" t="str">
        <f t="shared" si="14"/>
        <v>11</v>
      </c>
      <c r="D274" t="str">
        <f>"18"</f>
        <v>18</v>
      </c>
      <c r="E274" t="str">
        <f>"102-11-18"</f>
        <v>102-11-18</v>
      </c>
      <c r="F274" t="s">
        <v>27</v>
      </c>
      <c r="G274" t="s">
        <v>28</v>
      </c>
      <c r="H274">
        <v>1</v>
      </c>
      <c r="Q274">
        <v>0</v>
      </c>
      <c r="R274">
        <v>1</v>
      </c>
      <c r="S274">
        <v>0</v>
      </c>
      <c r="T274">
        <v>1</v>
      </c>
      <c r="U274">
        <v>0</v>
      </c>
      <c r="V274">
        <v>1</v>
      </c>
    </row>
    <row r="275" spans="1:26" x14ac:dyDescent="0.25">
      <c r="A275" t="str">
        <f>"271"</f>
        <v>271</v>
      </c>
      <c r="B275" t="str">
        <f t="shared" si="15"/>
        <v>102</v>
      </c>
      <c r="C275" t="str">
        <f t="shared" si="14"/>
        <v>11</v>
      </c>
      <c r="D275" t="str">
        <f>"2"</f>
        <v>2</v>
      </c>
      <c r="E275" t="str">
        <f>"102-11-2"</f>
        <v>102-11-2</v>
      </c>
      <c r="F275" t="s">
        <v>27</v>
      </c>
      <c r="G275" t="s">
        <v>28</v>
      </c>
      <c r="H275">
        <v>1</v>
      </c>
      <c r="Q275">
        <v>0</v>
      </c>
      <c r="R275">
        <v>1</v>
      </c>
      <c r="S275">
        <v>0</v>
      </c>
      <c r="T275">
        <v>1</v>
      </c>
      <c r="U275">
        <v>1</v>
      </c>
      <c r="V275">
        <v>0</v>
      </c>
    </row>
    <row r="276" spans="1:26" x14ac:dyDescent="0.25">
      <c r="A276" t="str">
        <f>"272"</f>
        <v>272</v>
      </c>
      <c r="B276" t="str">
        <f t="shared" si="15"/>
        <v>102</v>
      </c>
      <c r="C276" t="str">
        <f t="shared" si="14"/>
        <v>11</v>
      </c>
      <c r="D276" t="str">
        <f>"19"</f>
        <v>19</v>
      </c>
      <c r="E276" t="str">
        <f>"102-11-19"</f>
        <v>102-11-19</v>
      </c>
      <c r="F276" t="s">
        <v>27</v>
      </c>
      <c r="G276" t="s">
        <v>28</v>
      </c>
      <c r="H276">
        <v>1</v>
      </c>
      <c r="Q276">
        <v>0</v>
      </c>
      <c r="R276">
        <v>1</v>
      </c>
      <c r="S276">
        <v>0</v>
      </c>
      <c r="T276">
        <v>1</v>
      </c>
      <c r="U276">
        <v>0</v>
      </c>
      <c r="V276">
        <v>1</v>
      </c>
    </row>
    <row r="277" spans="1:26" x14ac:dyDescent="0.25">
      <c r="A277" t="str">
        <f>"273"</f>
        <v>273</v>
      </c>
      <c r="B277" t="str">
        <f t="shared" si="15"/>
        <v>102</v>
      </c>
      <c r="C277" t="str">
        <f t="shared" si="14"/>
        <v>11</v>
      </c>
      <c r="D277" t="str">
        <f>"4"</f>
        <v>4</v>
      </c>
      <c r="E277" t="str">
        <f>"102-11-4"</f>
        <v>102-11-4</v>
      </c>
      <c r="F277" t="s">
        <v>27</v>
      </c>
      <c r="G277" t="s">
        <v>28</v>
      </c>
      <c r="H277">
        <v>1</v>
      </c>
      <c r="Q277">
        <v>0</v>
      </c>
      <c r="R277">
        <v>1</v>
      </c>
      <c r="S277">
        <v>0</v>
      </c>
      <c r="T277">
        <v>1</v>
      </c>
      <c r="U277">
        <v>0</v>
      </c>
      <c r="V277">
        <v>1</v>
      </c>
    </row>
    <row r="278" spans="1:26" x14ac:dyDescent="0.25">
      <c r="A278" t="str">
        <f>"274"</f>
        <v>274</v>
      </c>
      <c r="B278" t="str">
        <f t="shared" si="15"/>
        <v>102</v>
      </c>
      <c r="C278" t="str">
        <f t="shared" si="14"/>
        <v>11</v>
      </c>
      <c r="D278" t="str">
        <f>"20"</f>
        <v>20</v>
      </c>
      <c r="E278" t="str">
        <f>"102-11-20"</f>
        <v>102-11-20</v>
      </c>
      <c r="F278" t="s">
        <v>27</v>
      </c>
      <c r="G278" t="s">
        <v>28</v>
      </c>
      <c r="H278">
        <v>1</v>
      </c>
      <c r="Q278">
        <v>0</v>
      </c>
      <c r="R278">
        <v>1</v>
      </c>
      <c r="S278">
        <v>0</v>
      </c>
      <c r="T278">
        <v>1</v>
      </c>
      <c r="U278">
        <v>1</v>
      </c>
      <c r="V278">
        <v>0</v>
      </c>
    </row>
    <row r="279" spans="1:26" x14ac:dyDescent="0.25">
      <c r="A279" t="str">
        <f>"275"</f>
        <v>275</v>
      </c>
      <c r="B279" t="str">
        <f t="shared" si="15"/>
        <v>102</v>
      </c>
      <c r="C279" t="str">
        <f t="shared" si="14"/>
        <v>11</v>
      </c>
      <c r="D279" t="str">
        <f>"6"</f>
        <v>6</v>
      </c>
      <c r="E279" t="str">
        <f>"102-11-6"</f>
        <v>102-11-6</v>
      </c>
      <c r="F279" t="s">
        <v>27</v>
      </c>
      <c r="G279" t="s">
        <v>29</v>
      </c>
      <c r="H279">
        <v>3</v>
      </c>
      <c r="M279">
        <v>0</v>
      </c>
      <c r="N279">
        <v>0</v>
      </c>
      <c r="O279">
        <v>0</v>
      </c>
      <c r="P279">
        <v>0</v>
      </c>
      <c r="Q279">
        <v>1</v>
      </c>
      <c r="R279">
        <v>0</v>
      </c>
      <c r="S279">
        <v>1</v>
      </c>
      <c r="T279">
        <v>0</v>
      </c>
      <c r="U279">
        <v>1</v>
      </c>
      <c r="V279">
        <v>0</v>
      </c>
      <c r="Y279">
        <v>1</v>
      </c>
      <c r="Z279">
        <v>0</v>
      </c>
    </row>
    <row r="280" spans="1:26" x14ac:dyDescent="0.25">
      <c r="A280" t="str">
        <f>"276"</f>
        <v>276</v>
      </c>
      <c r="B280" t="str">
        <f t="shared" si="15"/>
        <v>102</v>
      </c>
      <c r="C280" t="str">
        <f t="shared" ref="C280:C304" si="16">"12"</f>
        <v>12</v>
      </c>
      <c r="D280" t="str">
        <f>"24"</f>
        <v>24</v>
      </c>
      <c r="E280" t="str">
        <f>"102-12-24"</f>
        <v>102-12-24</v>
      </c>
      <c r="F280" t="s">
        <v>27</v>
      </c>
      <c r="G280" t="s">
        <v>28</v>
      </c>
      <c r="H280">
        <v>1</v>
      </c>
      <c r="Q280">
        <v>1</v>
      </c>
      <c r="R280">
        <v>0</v>
      </c>
      <c r="S280">
        <v>0</v>
      </c>
      <c r="T280">
        <v>1</v>
      </c>
      <c r="U280">
        <v>0</v>
      </c>
      <c r="V280">
        <v>1</v>
      </c>
    </row>
    <row r="281" spans="1:26" x14ac:dyDescent="0.25">
      <c r="A281" t="str">
        <f>"277"</f>
        <v>277</v>
      </c>
      <c r="B281" t="str">
        <f t="shared" si="15"/>
        <v>102</v>
      </c>
      <c r="C281" t="str">
        <f t="shared" si="16"/>
        <v>12</v>
      </c>
      <c r="D281" t="str">
        <f>"11"</f>
        <v>11</v>
      </c>
      <c r="E281" t="str">
        <f>"102-12-11"</f>
        <v>102-12-11</v>
      </c>
      <c r="F281" t="s">
        <v>27</v>
      </c>
      <c r="G281" t="s">
        <v>28</v>
      </c>
      <c r="H281">
        <v>1</v>
      </c>
      <c r="Q281">
        <v>0</v>
      </c>
      <c r="R281">
        <v>1</v>
      </c>
      <c r="S281">
        <v>0</v>
      </c>
      <c r="T281">
        <v>1</v>
      </c>
      <c r="U281">
        <v>0</v>
      </c>
      <c r="V281">
        <v>1</v>
      </c>
    </row>
    <row r="282" spans="1:26" x14ac:dyDescent="0.25">
      <c r="A282" t="str">
        <f>"278"</f>
        <v>278</v>
      </c>
      <c r="B282" t="str">
        <f t="shared" si="15"/>
        <v>102</v>
      </c>
      <c r="C282" t="str">
        <f t="shared" si="16"/>
        <v>12</v>
      </c>
      <c r="D282" t="str">
        <f>"5"</f>
        <v>5</v>
      </c>
      <c r="E282" t="str">
        <f>"102-12-5"</f>
        <v>102-12-5</v>
      </c>
      <c r="F282" t="s">
        <v>27</v>
      </c>
      <c r="G282" t="s">
        <v>28</v>
      </c>
      <c r="H282">
        <v>1</v>
      </c>
      <c r="Q282">
        <v>0</v>
      </c>
      <c r="R282">
        <v>1</v>
      </c>
      <c r="S282">
        <v>0</v>
      </c>
      <c r="T282">
        <v>1</v>
      </c>
      <c r="U282">
        <v>0</v>
      </c>
      <c r="V282">
        <v>1</v>
      </c>
    </row>
    <row r="283" spans="1:26" x14ac:dyDescent="0.25">
      <c r="A283" t="str">
        <f>"279"</f>
        <v>279</v>
      </c>
      <c r="B283" t="str">
        <f t="shared" si="15"/>
        <v>102</v>
      </c>
      <c r="C283" t="str">
        <f t="shared" si="16"/>
        <v>12</v>
      </c>
      <c r="D283" t="str">
        <f>"12"</f>
        <v>12</v>
      </c>
      <c r="E283" t="str">
        <f>"102-12-12"</f>
        <v>102-12-12</v>
      </c>
      <c r="F283" t="s">
        <v>27</v>
      </c>
      <c r="G283" t="s">
        <v>28</v>
      </c>
      <c r="H283">
        <v>1</v>
      </c>
      <c r="Q283">
        <v>0</v>
      </c>
      <c r="R283">
        <v>1</v>
      </c>
      <c r="S283">
        <v>0</v>
      </c>
      <c r="T283">
        <v>1</v>
      </c>
      <c r="U283">
        <v>0</v>
      </c>
      <c r="V283">
        <v>1</v>
      </c>
    </row>
    <row r="284" spans="1:26" x14ac:dyDescent="0.25">
      <c r="A284" t="str">
        <f>"280"</f>
        <v>280</v>
      </c>
      <c r="B284" t="str">
        <f t="shared" si="15"/>
        <v>102</v>
      </c>
      <c r="C284" t="str">
        <f t="shared" si="16"/>
        <v>12</v>
      </c>
      <c r="D284" t="str">
        <f>"1"</f>
        <v>1</v>
      </c>
      <c r="E284" t="str">
        <f>"102-12-1"</f>
        <v>102-12-1</v>
      </c>
      <c r="F284" t="s">
        <v>27</v>
      </c>
      <c r="G284" t="s">
        <v>28</v>
      </c>
      <c r="H284">
        <v>1</v>
      </c>
      <c r="Q284">
        <v>1</v>
      </c>
      <c r="R284">
        <v>0</v>
      </c>
      <c r="S284">
        <v>1</v>
      </c>
      <c r="T284">
        <v>0</v>
      </c>
      <c r="U284">
        <v>0</v>
      </c>
      <c r="V284">
        <v>1</v>
      </c>
    </row>
    <row r="285" spans="1:26" x14ac:dyDescent="0.25">
      <c r="A285" t="str">
        <f>"281"</f>
        <v>281</v>
      </c>
      <c r="B285" t="str">
        <f t="shared" si="15"/>
        <v>102</v>
      </c>
      <c r="C285" t="str">
        <f t="shared" si="16"/>
        <v>12</v>
      </c>
      <c r="D285" t="str">
        <f>"25"</f>
        <v>25</v>
      </c>
      <c r="E285" t="str">
        <f>"102-12-25"</f>
        <v>102-12-25</v>
      </c>
      <c r="F285" t="s">
        <v>27</v>
      </c>
      <c r="G285" t="s">
        <v>28</v>
      </c>
      <c r="H285">
        <v>1</v>
      </c>
      <c r="Q285">
        <v>1</v>
      </c>
      <c r="R285">
        <v>0</v>
      </c>
      <c r="S285">
        <v>0</v>
      </c>
      <c r="T285">
        <v>1</v>
      </c>
      <c r="U285">
        <v>0</v>
      </c>
      <c r="V285">
        <v>1</v>
      </c>
    </row>
    <row r="286" spans="1:26" x14ac:dyDescent="0.25">
      <c r="A286" t="str">
        <f>"282"</f>
        <v>282</v>
      </c>
      <c r="B286" t="str">
        <f t="shared" si="15"/>
        <v>102</v>
      </c>
      <c r="C286" t="str">
        <f t="shared" si="16"/>
        <v>12</v>
      </c>
      <c r="D286" t="str">
        <f>"13"</f>
        <v>13</v>
      </c>
      <c r="E286" t="str">
        <f>"102-12-13"</f>
        <v>102-12-13</v>
      </c>
      <c r="F286" t="s">
        <v>27</v>
      </c>
      <c r="G286" t="s">
        <v>28</v>
      </c>
      <c r="H286">
        <v>1</v>
      </c>
      <c r="Q286">
        <v>0</v>
      </c>
      <c r="R286">
        <v>1</v>
      </c>
      <c r="S286">
        <v>0</v>
      </c>
      <c r="T286">
        <v>1</v>
      </c>
      <c r="U286">
        <v>1</v>
      </c>
      <c r="V286">
        <v>0</v>
      </c>
    </row>
    <row r="287" spans="1:26" x14ac:dyDescent="0.25">
      <c r="A287" t="str">
        <f>"283"</f>
        <v>283</v>
      </c>
      <c r="B287" t="str">
        <f t="shared" si="15"/>
        <v>102</v>
      </c>
      <c r="C287" t="str">
        <f t="shared" si="16"/>
        <v>12</v>
      </c>
      <c r="D287" t="str">
        <f>"2"</f>
        <v>2</v>
      </c>
      <c r="E287" t="str">
        <f>"102-12-2"</f>
        <v>102-12-2</v>
      </c>
      <c r="F287" t="s">
        <v>27</v>
      </c>
      <c r="G287" t="s">
        <v>28</v>
      </c>
      <c r="H287">
        <v>1</v>
      </c>
      <c r="Q287">
        <v>0</v>
      </c>
      <c r="R287">
        <v>1</v>
      </c>
      <c r="S287">
        <v>0</v>
      </c>
      <c r="T287">
        <v>1</v>
      </c>
      <c r="U287">
        <v>0</v>
      </c>
      <c r="V287">
        <v>1</v>
      </c>
    </row>
    <row r="288" spans="1:26" x14ac:dyDescent="0.25">
      <c r="A288" t="str">
        <f>"284"</f>
        <v>284</v>
      </c>
      <c r="B288" t="str">
        <f t="shared" si="15"/>
        <v>102</v>
      </c>
      <c r="C288" t="str">
        <f t="shared" si="16"/>
        <v>12</v>
      </c>
      <c r="D288" t="str">
        <f>"23"</f>
        <v>23</v>
      </c>
      <c r="E288" t="str">
        <f>"102-12-23"</f>
        <v>102-12-23</v>
      </c>
      <c r="F288" t="s">
        <v>27</v>
      </c>
      <c r="G288" t="s">
        <v>28</v>
      </c>
      <c r="H288">
        <v>1</v>
      </c>
      <c r="Q288">
        <v>1</v>
      </c>
      <c r="R288">
        <v>0</v>
      </c>
      <c r="S288">
        <v>1</v>
      </c>
      <c r="T288">
        <v>0</v>
      </c>
      <c r="U288">
        <v>1</v>
      </c>
      <c r="V288">
        <v>0</v>
      </c>
    </row>
    <row r="289" spans="1:22" x14ac:dyDescent="0.25">
      <c r="A289" t="str">
        <f>"285"</f>
        <v>285</v>
      </c>
      <c r="B289" t="str">
        <f t="shared" si="15"/>
        <v>102</v>
      </c>
      <c r="C289" t="str">
        <f t="shared" si="16"/>
        <v>12</v>
      </c>
      <c r="D289" t="str">
        <f>"14"</f>
        <v>14</v>
      </c>
      <c r="E289" t="str">
        <f>"102-12-14"</f>
        <v>102-12-14</v>
      </c>
      <c r="F289" t="s">
        <v>27</v>
      </c>
      <c r="G289" t="s">
        <v>28</v>
      </c>
      <c r="H289">
        <v>1</v>
      </c>
      <c r="Q289">
        <v>0</v>
      </c>
      <c r="R289">
        <v>1</v>
      </c>
      <c r="S289">
        <v>0</v>
      </c>
      <c r="T289">
        <v>1</v>
      </c>
      <c r="U289">
        <v>1</v>
      </c>
      <c r="V289">
        <v>0</v>
      </c>
    </row>
    <row r="290" spans="1:22" x14ac:dyDescent="0.25">
      <c r="A290" t="str">
        <f>"286"</f>
        <v>286</v>
      </c>
      <c r="B290" t="str">
        <f t="shared" si="15"/>
        <v>102</v>
      </c>
      <c r="C290" t="str">
        <f t="shared" si="16"/>
        <v>12</v>
      </c>
      <c r="D290" t="str">
        <f>"7"</f>
        <v>7</v>
      </c>
      <c r="E290" t="str">
        <f>"102-12-7"</f>
        <v>102-12-7</v>
      </c>
      <c r="F290" t="s">
        <v>27</v>
      </c>
      <c r="G290" t="s">
        <v>28</v>
      </c>
      <c r="H290">
        <v>1</v>
      </c>
      <c r="Q290">
        <v>1</v>
      </c>
      <c r="R290">
        <v>0</v>
      </c>
      <c r="S290">
        <v>0</v>
      </c>
      <c r="T290">
        <v>1</v>
      </c>
      <c r="U290">
        <v>0</v>
      </c>
      <c r="V290">
        <v>1</v>
      </c>
    </row>
    <row r="291" spans="1:22" x14ac:dyDescent="0.25">
      <c r="A291" t="str">
        <f>"287"</f>
        <v>287</v>
      </c>
      <c r="B291" t="str">
        <f t="shared" si="15"/>
        <v>102</v>
      </c>
      <c r="C291" t="str">
        <f t="shared" si="16"/>
        <v>12</v>
      </c>
      <c r="D291" t="str">
        <f>"22"</f>
        <v>22</v>
      </c>
      <c r="E291" t="str">
        <f>"102-12-22"</f>
        <v>102-12-22</v>
      </c>
      <c r="F291" t="s">
        <v>27</v>
      </c>
      <c r="G291" t="s">
        <v>28</v>
      </c>
      <c r="H291">
        <v>1</v>
      </c>
      <c r="Q291">
        <v>1</v>
      </c>
      <c r="R291">
        <v>0</v>
      </c>
      <c r="S291">
        <v>1</v>
      </c>
      <c r="T291">
        <v>0</v>
      </c>
      <c r="U291">
        <v>1</v>
      </c>
      <c r="V291">
        <v>0</v>
      </c>
    </row>
    <row r="292" spans="1:22" x14ac:dyDescent="0.25">
      <c r="A292" t="str">
        <f>"288"</f>
        <v>288</v>
      </c>
      <c r="B292" t="str">
        <f t="shared" si="15"/>
        <v>102</v>
      </c>
      <c r="C292" t="str">
        <f t="shared" si="16"/>
        <v>12</v>
      </c>
      <c r="D292" t="str">
        <f>"15"</f>
        <v>15</v>
      </c>
      <c r="E292" t="str">
        <f>"102-12-15"</f>
        <v>102-12-15</v>
      </c>
      <c r="F292" t="s">
        <v>27</v>
      </c>
      <c r="G292" t="s">
        <v>28</v>
      </c>
      <c r="H292">
        <v>1</v>
      </c>
      <c r="Q292">
        <v>0</v>
      </c>
      <c r="R292">
        <v>1</v>
      </c>
      <c r="S292">
        <v>0</v>
      </c>
      <c r="T292">
        <v>1</v>
      </c>
      <c r="U292">
        <v>1</v>
      </c>
      <c r="V292">
        <v>0</v>
      </c>
    </row>
    <row r="293" spans="1:22" x14ac:dyDescent="0.25">
      <c r="A293" t="str">
        <f>"289"</f>
        <v>289</v>
      </c>
      <c r="B293" t="str">
        <f t="shared" si="15"/>
        <v>102</v>
      </c>
      <c r="C293" t="str">
        <f t="shared" si="16"/>
        <v>12</v>
      </c>
      <c r="D293" t="str">
        <f>"6"</f>
        <v>6</v>
      </c>
      <c r="E293" t="str">
        <f>"102-12-6"</f>
        <v>102-12-6</v>
      </c>
      <c r="F293" t="s">
        <v>27</v>
      </c>
      <c r="G293" t="s">
        <v>28</v>
      </c>
      <c r="H293">
        <v>1</v>
      </c>
      <c r="Q293">
        <v>0</v>
      </c>
      <c r="R293">
        <v>1</v>
      </c>
      <c r="S293">
        <v>0</v>
      </c>
      <c r="T293">
        <v>1</v>
      </c>
      <c r="U293">
        <v>0</v>
      </c>
      <c r="V293">
        <v>1</v>
      </c>
    </row>
    <row r="294" spans="1:22" x14ac:dyDescent="0.25">
      <c r="A294" t="str">
        <f>"290"</f>
        <v>290</v>
      </c>
      <c r="B294" t="str">
        <f t="shared" si="15"/>
        <v>102</v>
      </c>
      <c r="C294" t="str">
        <f t="shared" si="16"/>
        <v>12</v>
      </c>
      <c r="D294" t="str">
        <f>"16"</f>
        <v>16</v>
      </c>
      <c r="E294" t="str">
        <f>"102-12-16"</f>
        <v>102-12-16</v>
      </c>
      <c r="F294" t="s">
        <v>27</v>
      </c>
      <c r="G294" t="s">
        <v>28</v>
      </c>
      <c r="H294">
        <v>1</v>
      </c>
      <c r="Q294">
        <v>1</v>
      </c>
      <c r="R294">
        <v>0</v>
      </c>
      <c r="S294">
        <v>1</v>
      </c>
      <c r="T294">
        <v>0</v>
      </c>
      <c r="U294">
        <v>1</v>
      </c>
      <c r="V294">
        <v>0</v>
      </c>
    </row>
    <row r="295" spans="1:22" x14ac:dyDescent="0.25">
      <c r="A295" t="str">
        <f>"291"</f>
        <v>291</v>
      </c>
      <c r="B295" t="str">
        <f t="shared" si="15"/>
        <v>102</v>
      </c>
      <c r="C295" t="str">
        <f t="shared" si="16"/>
        <v>12</v>
      </c>
      <c r="D295" t="str">
        <f>"21"</f>
        <v>21</v>
      </c>
      <c r="E295" t="str">
        <f>"102-12-21"</f>
        <v>102-12-21</v>
      </c>
      <c r="F295" t="s">
        <v>27</v>
      </c>
      <c r="G295" t="s">
        <v>28</v>
      </c>
      <c r="H295">
        <v>1</v>
      </c>
      <c r="Q295">
        <v>0</v>
      </c>
      <c r="R295">
        <v>1</v>
      </c>
      <c r="S295">
        <v>0</v>
      </c>
      <c r="T295">
        <v>1</v>
      </c>
      <c r="U295">
        <v>1</v>
      </c>
      <c r="V295">
        <v>0</v>
      </c>
    </row>
    <row r="296" spans="1:22" x14ac:dyDescent="0.25">
      <c r="A296" t="str">
        <f>"292"</f>
        <v>292</v>
      </c>
      <c r="B296" t="str">
        <f t="shared" si="15"/>
        <v>102</v>
      </c>
      <c r="C296" t="str">
        <f t="shared" si="16"/>
        <v>12</v>
      </c>
      <c r="D296" t="str">
        <f>"17"</f>
        <v>17</v>
      </c>
      <c r="E296" t="str">
        <f>"102-12-17"</f>
        <v>102-12-17</v>
      </c>
      <c r="F296" t="s">
        <v>27</v>
      </c>
      <c r="G296" t="s">
        <v>28</v>
      </c>
      <c r="H296">
        <v>1</v>
      </c>
      <c r="Q296">
        <v>0</v>
      </c>
      <c r="R296">
        <v>1</v>
      </c>
      <c r="S296">
        <v>0</v>
      </c>
      <c r="T296">
        <v>1</v>
      </c>
      <c r="U296">
        <v>0</v>
      </c>
      <c r="V296">
        <v>1</v>
      </c>
    </row>
    <row r="297" spans="1:22" x14ac:dyDescent="0.25">
      <c r="A297" t="str">
        <f>"293"</f>
        <v>293</v>
      </c>
      <c r="B297" t="str">
        <f t="shared" si="15"/>
        <v>102</v>
      </c>
      <c r="C297" t="str">
        <f t="shared" si="16"/>
        <v>12</v>
      </c>
      <c r="D297" t="str">
        <f>"10"</f>
        <v>10</v>
      </c>
      <c r="E297" t="str">
        <f>"102-12-10"</f>
        <v>102-12-10</v>
      </c>
      <c r="F297" t="s">
        <v>27</v>
      </c>
      <c r="G297" t="s">
        <v>28</v>
      </c>
      <c r="H297">
        <v>1</v>
      </c>
      <c r="Q297">
        <v>0</v>
      </c>
      <c r="R297">
        <v>1</v>
      </c>
      <c r="S297">
        <v>0</v>
      </c>
      <c r="T297">
        <v>1</v>
      </c>
      <c r="U297">
        <v>0</v>
      </c>
      <c r="V297">
        <v>1</v>
      </c>
    </row>
    <row r="298" spans="1:22" x14ac:dyDescent="0.25">
      <c r="A298" t="str">
        <f>"294"</f>
        <v>294</v>
      </c>
      <c r="B298" t="str">
        <f t="shared" si="15"/>
        <v>102</v>
      </c>
      <c r="C298" t="str">
        <f t="shared" si="16"/>
        <v>12</v>
      </c>
      <c r="D298" t="str">
        <f>"18"</f>
        <v>18</v>
      </c>
      <c r="E298" t="str">
        <f>"102-12-18"</f>
        <v>102-12-18</v>
      </c>
      <c r="F298" t="s">
        <v>27</v>
      </c>
      <c r="G298" t="s">
        <v>28</v>
      </c>
      <c r="H298">
        <v>1</v>
      </c>
      <c r="Q298">
        <v>1</v>
      </c>
      <c r="R298">
        <v>0</v>
      </c>
      <c r="S298">
        <v>0</v>
      </c>
      <c r="T298">
        <v>1</v>
      </c>
      <c r="U298">
        <v>0</v>
      </c>
      <c r="V298">
        <v>1</v>
      </c>
    </row>
    <row r="299" spans="1:22" x14ac:dyDescent="0.25">
      <c r="A299" t="str">
        <f>"295"</f>
        <v>295</v>
      </c>
      <c r="B299" t="str">
        <f t="shared" si="15"/>
        <v>102</v>
      </c>
      <c r="C299" t="str">
        <f t="shared" si="16"/>
        <v>12</v>
      </c>
      <c r="D299" t="str">
        <f>"4"</f>
        <v>4</v>
      </c>
      <c r="E299" t="str">
        <f>"102-12-4"</f>
        <v>102-12-4</v>
      </c>
      <c r="F299" t="s">
        <v>27</v>
      </c>
      <c r="G299" t="s">
        <v>28</v>
      </c>
      <c r="H299">
        <v>1</v>
      </c>
      <c r="Q299">
        <v>0</v>
      </c>
      <c r="R299">
        <v>1</v>
      </c>
      <c r="S299">
        <v>0</v>
      </c>
      <c r="T299">
        <v>1</v>
      </c>
      <c r="U299">
        <v>0</v>
      </c>
      <c r="V299">
        <v>1</v>
      </c>
    </row>
    <row r="300" spans="1:22" x14ac:dyDescent="0.25">
      <c r="A300" t="str">
        <f>"296"</f>
        <v>296</v>
      </c>
      <c r="B300" t="str">
        <f t="shared" si="15"/>
        <v>102</v>
      </c>
      <c r="C300" t="str">
        <f t="shared" si="16"/>
        <v>12</v>
      </c>
      <c r="D300" t="str">
        <f>"19"</f>
        <v>19</v>
      </c>
      <c r="E300" t="str">
        <f>"102-12-19"</f>
        <v>102-12-19</v>
      </c>
      <c r="F300" t="s">
        <v>27</v>
      </c>
      <c r="G300" t="s">
        <v>28</v>
      </c>
      <c r="H300">
        <v>1</v>
      </c>
      <c r="Q300">
        <v>0</v>
      </c>
      <c r="R300">
        <v>1</v>
      </c>
      <c r="S300">
        <v>0</v>
      </c>
      <c r="T300">
        <v>1</v>
      </c>
      <c r="U300">
        <v>1</v>
      </c>
      <c r="V300">
        <v>0</v>
      </c>
    </row>
    <row r="301" spans="1:22" x14ac:dyDescent="0.25">
      <c r="A301" t="str">
        <f>"297"</f>
        <v>297</v>
      </c>
      <c r="B301" t="str">
        <f t="shared" si="15"/>
        <v>102</v>
      </c>
      <c r="C301" t="str">
        <f t="shared" si="16"/>
        <v>12</v>
      </c>
      <c r="D301" t="str">
        <f>"8"</f>
        <v>8</v>
      </c>
      <c r="E301" t="str">
        <f>"102-12-8"</f>
        <v>102-12-8</v>
      </c>
      <c r="F301" t="s">
        <v>27</v>
      </c>
      <c r="G301" t="s">
        <v>28</v>
      </c>
      <c r="H301">
        <v>1</v>
      </c>
      <c r="Q301">
        <v>0</v>
      </c>
      <c r="R301">
        <v>1</v>
      </c>
      <c r="S301">
        <v>1</v>
      </c>
      <c r="T301">
        <v>0</v>
      </c>
      <c r="U301">
        <v>0</v>
      </c>
      <c r="V301">
        <v>1</v>
      </c>
    </row>
    <row r="302" spans="1:22" x14ac:dyDescent="0.25">
      <c r="A302" t="str">
        <f>"298"</f>
        <v>298</v>
      </c>
      <c r="B302" t="str">
        <f t="shared" si="15"/>
        <v>102</v>
      </c>
      <c r="C302" t="str">
        <f t="shared" si="16"/>
        <v>12</v>
      </c>
      <c r="D302" t="str">
        <f>"20"</f>
        <v>20</v>
      </c>
      <c r="E302" t="str">
        <f>"102-12-20"</f>
        <v>102-12-20</v>
      </c>
      <c r="F302" t="s">
        <v>27</v>
      </c>
      <c r="G302" t="s">
        <v>28</v>
      </c>
      <c r="H302">
        <v>1</v>
      </c>
      <c r="Q302">
        <v>0</v>
      </c>
      <c r="R302">
        <v>1</v>
      </c>
      <c r="S302">
        <v>0</v>
      </c>
      <c r="T302">
        <v>1</v>
      </c>
      <c r="U302">
        <v>0</v>
      </c>
      <c r="V302">
        <v>1</v>
      </c>
    </row>
    <row r="303" spans="1:22" x14ac:dyDescent="0.25">
      <c r="A303" t="str">
        <f>"299"</f>
        <v>299</v>
      </c>
      <c r="B303" t="str">
        <f t="shared" si="15"/>
        <v>102</v>
      </c>
      <c r="C303" t="str">
        <f t="shared" si="16"/>
        <v>12</v>
      </c>
      <c r="D303" t="str">
        <f>"9"</f>
        <v>9</v>
      </c>
      <c r="E303" t="str">
        <f>"102-12-9"</f>
        <v>102-12-9</v>
      </c>
      <c r="F303" t="s">
        <v>27</v>
      </c>
      <c r="G303" t="s">
        <v>28</v>
      </c>
      <c r="H303">
        <v>1</v>
      </c>
      <c r="Q303">
        <v>0</v>
      </c>
      <c r="R303">
        <v>1</v>
      </c>
      <c r="S303">
        <v>0</v>
      </c>
      <c r="T303">
        <v>1</v>
      </c>
      <c r="U303">
        <v>1</v>
      </c>
      <c r="V303">
        <v>0</v>
      </c>
    </row>
    <row r="304" spans="1:22" x14ac:dyDescent="0.25">
      <c r="A304" t="str">
        <f>"300"</f>
        <v>300</v>
      </c>
      <c r="B304" t="str">
        <f t="shared" si="15"/>
        <v>102</v>
      </c>
      <c r="C304" t="str">
        <f t="shared" si="16"/>
        <v>12</v>
      </c>
      <c r="D304" t="str">
        <f>"3"</f>
        <v>3</v>
      </c>
      <c r="E304" t="str">
        <f>"102-12-3"</f>
        <v>102-12-3</v>
      </c>
      <c r="F304" t="s">
        <v>27</v>
      </c>
      <c r="G304" t="s">
        <v>28</v>
      </c>
      <c r="H304">
        <v>1</v>
      </c>
      <c r="Q304">
        <v>0</v>
      </c>
      <c r="R304">
        <v>1</v>
      </c>
      <c r="S304">
        <v>0</v>
      </c>
      <c r="T304">
        <v>1</v>
      </c>
      <c r="U304">
        <v>1</v>
      </c>
      <c r="V304">
        <v>0</v>
      </c>
    </row>
    <row r="305" spans="1:22" x14ac:dyDescent="0.25">
      <c r="A305" t="str">
        <f>"301"</f>
        <v>301</v>
      </c>
      <c r="B305" t="str">
        <f t="shared" si="15"/>
        <v>102</v>
      </c>
      <c r="C305" t="str">
        <f t="shared" ref="C305:C329" si="17">"13"</f>
        <v>13</v>
      </c>
      <c r="D305" t="str">
        <f>"21"</f>
        <v>21</v>
      </c>
      <c r="E305" t="str">
        <f>"102-13-21"</f>
        <v>102-13-21</v>
      </c>
      <c r="F305" t="s">
        <v>27</v>
      </c>
      <c r="G305" t="s">
        <v>28</v>
      </c>
      <c r="H305">
        <v>1</v>
      </c>
      <c r="Q305">
        <v>0</v>
      </c>
      <c r="R305">
        <v>1</v>
      </c>
      <c r="S305">
        <v>0</v>
      </c>
      <c r="T305">
        <v>1</v>
      </c>
      <c r="U305">
        <v>0</v>
      </c>
      <c r="V305">
        <v>1</v>
      </c>
    </row>
    <row r="306" spans="1:22" x14ac:dyDescent="0.25">
      <c r="A306" t="str">
        <f>"302"</f>
        <v>302</v>
      </c>
      <c r="B306" t="str">
        <f t="shared" si="15"/>
        <v>102</v>
      </c>
      <c r="C306" t="str">
        <f t="shared" si="17"/>
        <v>13</v>
      </c>
      <c r="D306" t="str">
        <f>"11"</f>
        <v>11</v>
      </c>
      <c r="E306" t="str">
        <f>"102-13-11"</f>
        <v>102-13-11</v>
      </c>
      <c r="F306" t="s">
        <v>27</v>
      </c>
      <c r="G306" t="s">
        <v>28</v>
      </c>
      <c r="H306">
        <v>1</v>
      </c>
      <c r="Q306">
        <v>1</v>
      </c>
      <c r="R306">
        <v>0</v>
      </c>
      <c r="S306">
        <v>1</v>
      </c>
      <c r="T306">
        <v>0</v>
      </c>
      <c r="U306">
        <v>0</v>
      </c>
      <c r="V306">
        <v>1</v>
      </c>
    </row>
    <row r="307" spans="1:22" x14ac:dyDescent="0.25">
      <c r="A307" t="str">
        <f>"303"</f>
        <v>303</v>
      </c>
      <c r="B307" t="str">
        <f t="shared" si="15"/>
        <v>102</v>
      </c>
      <c r="C307" t="str">
        <f t="shared" si="17"/>
        <v>13</v>
      </c>
      <c r="D307" t="str">
        <f>"1"</f>
        <v>1</v>
      </c>
      <c r="E307" t="str">
        <f>"102-13-1"</f>
        <v>102-13-1</v>
      </c>
      <c r="F307" t="s">
        <v>27</v>
      </c>
      <c r="G307" t="s">
        <v>28</v>
      </c>
      <c r="H307">
        <v>1</v>
      </c>
      <c r="Q307">
        <v>0</v>
      </c>
      <c r="R307">
        <v>1</v>
      </c>
      <c r="S307">
        <v>0</v>
      </c>
      <c r="T307">
        <v>1</v>
      </c>
      <c r="U307">
        <v>0</v>
      </c>
      <c r="V307">
        <v>1</v>
      </c>
    </row>
    <row r="308" spans="1:22" x14ac:dyDescent="0.25">
      <c r="A308" t="str">
        <f>"304"</f>
        <v>304</v>
      </c>
      <c r="B308" t="str">
        <f t="shared" si="15"/>
        <v>102</v>
      </c>
      <c r="C308" t="str">
        <f t="shared" si="17"/>
        <v>13</v>
      </c>
      <c r="D308" t="str">
        <f>"24"</f>
        <v>24</v>
      </c>
      <c r="E308" t="str">
        <f>"102-13-24"</f>
        <v>102-13-24</v>
      </c>
      <c r="F308" t="s">
        <v>27</v>
      </c>
      <c r="G308" t="s">
        <v>28</v>
      </c>
      <c r="H308">
        <v>1</v>
      </c>
      <c r="Q308">
        <v>0</v>
      </c>
      <c r="R308">
        <v>1</v>
      </c>
      <c r="S308">
        <v>0</v>
      </c>
      <c r="T308">
        <v>1</v>
      </c>
      <c r="U308">
        <v>1</v>
      </c>
      <c r="V308">
        <v>0</v>
      </c>
    </row>
    <row r="309" spans="1:22" x14ac:dyDescent="0.25">
      <c r="A309" t="str">
        <f>"305"</f>
        <v>305</v>
      </c>
      <c r="B309" t="str">
        <f t="shared" si="15"/>
        <v>102</v>
      </c>
      <c r="C309" t="str">
        <f t="shared" si="17"/>
        <v>13</v>
      </c>
      <c r="D309" t="str">
        <f>"12"</f>
        <v>12</v>
      </c>
      <c r="E309" t="str">
        <f>"102-13-12"</f>
        <v>102-13-12</v>
      </c>
      <c r="F309" t="s">
        <v>27</v>
      </c>
      <c r="G309" t="s">
        <v>28</v>
      </c>
      <c r="H309">
        <v>1</v>
      </c>
      <c r="Q309">
        <v>1</v>
      </c>
      <c r="R309">
        <v>0</v>
      </c>
      <c r="S309">
        <v>1</v>
      </c>
      <c r="T309">
        <v>0</v>
      </c>
      <c r="U309">
        <v>1</v>
      </c>
      <c r="V309">
        <v>0</v>
      </c>
    </row>
    <row r="310" spans="1:22" x14ac:dyDescent="0.25">
      <c r="A310" t="str">
        <f>"306"</f>
        <v>306</v>
      </c>
      <c r="B310" t="str">
        <f t="shared" si="15"/>
        <v>102</v>
      </c>
      <c r="C310" t="str">
        <f t="shared" si="17"/>
        <v>13</v>
      </c>
      <c r="D310" t="str">
        <f>"4"</f>
        <v>4</v>
      </c>
      <c r="E310" t="str">
        <f>"102-13-4"</f>
        <v>102-13-4</v>
      </c>
      <c r="F310" t="s">
        <v>27</v>
      </c>
      <c r="G310" t="s">
        <v>28</v>
      </c>
      <c r="H310">
        <v>1</v>
      </c>
      <c r="Q310">
        <v>0</v>
      </c>
      <c r="R310">
        <v>1</v>
      </c>
      <c r="S310">
        <v>0</v>
      </c>
      <c r="T310">
        <v>1</v>
      </c>
      <c r="U310">
        <v>0</v>
      </c>
      <c r="V310">
        <v>1</v>
      </c>
    </row>
    <row r="311" spans="1:22" x14ac:dyDescent="0.25">
      <c r="A311" t="str">
        <f>"307"</f>
        <v>307</v>
      </c>
      <c r="B311" t="str">
        <f t="shared" si="15"/>
        <v>102</v>
      </c>
      <c r="C311" t="str">
        <f t="shared" si="17"/>
        <v>13</v>
      </c>
      <c r="D311" t="str">
        <f>"25"</f>
        <v>25</v>
      </c>
      <c r="E311" t="str">
        <f>"102-13-25"</f>
        <v>102-13-25</v>
      </c>
      <c r="F311" t="s">
        <v>27</v>
      </c>
      <c r="G311" t="s">
        <v>28</v>
      </c>
      <c r="H311">
        <v>1</v>
      </c>
      <c r="Q311">
        <v>0</v>
      </c>
      <c r="R311">
        <v>1</v>
      </c>
      <c r="S311">
        <v>0</v>
      </c>
      <c r="T311">
        <v>1</v>
      </c>
      <c r="U311">
        <v>0</v>
      </c>
      <c r="V311">
        <v>1</v>
      </c>
    </row>
    <row r="312" spans="1:22" x14ac:dyDescent="0.25">
      <c r="A312" t="str">
        <f>"308"</f>
        <v>308</v>
      </c>
      <c r="B312" t="str">
        <f t="shared" si="15"/>
        <v>102</v>
      </c>
      <c r="C312" t="str">
        <f t="shared" si="17"/>
        <v>13</v>
      </c>
      <c r="D312" t="str">
        <f>"13"</f>
        <v>13</v>
      </c>
      <c r="E312" t="str">
        <f>"102-13-13"</f>
        <v>102-13-13</v>
      </c>
      <c r="F312" t="s">
        <v>27</v>
      </c>
      <c r="G312" t="s">
        <v>28</v>
      </c>
      <c r="H312">
        <v>1</v>
      </c>
      <c r="Q312">
        <v>0</v>
      </c>
      <c r="R312">
        <v>1</v>
      </c>
      <c r="S312">
        <v>0</v>
      </c>
      <c r="T312">
        <v>1</v>
      </c>
      <c r="U312">
        <v>1</v>
      </c>
      <c r="V312">
        <v>0</v>
      </c>
    </row>
    <row r="313" spans="1:22" x14ac:dyDescent="0.25">
      <c r="A313" t="str">
        <f>"309"</f>
        <v>309</v>
      </c>
      <c r="B313" t="str">
        <f t="shared" si="15"/>
        <v>102</v>
      </c>
      <c r="C313" t="str">
        <f t="shared" si="17"/>
        <v>13</v>
      </c>
      <c r="D313" t="str">
        <f>"2"</f>
        <v>2</v>
      </c>
      <c r="E313" t="str">
        <f>"102-13-2"</f>
        <v>102-13-2</v>
      </c>
      <c r="F313" t="s">
        <v>27</v>
      </c>
      <c r="G313" t="s">
        <v>28</v>
      </c>
      <c r="H313">
        <v>1</v>
      </c>
      <c r="Q313">
        <v>1</v>
      </c>
      <c r="R313">
        <v>0</v>
      </c>
      <c r="S313">
        <v>1</v>
      </c>
      <c r="T313">
        <v>0</v>
      </c>
      <c r="U313">
        <v>0</v>
      </c>
      <c r="V313">
        <v>1</v>
      </c>
    </row>
    <row r="314" spans="1:22" x14ac:dyDescent="0.25">
      <c r="A314" t="str">
        <f>"310"</f>
        <v>310</v>
      </c>
      <c r="B314" t="str">
        <f t="shared" si="15"/>
        <v>102</v>
      </c>
      <c r="C314" t="str">
        <f t="shared" si="17"/>
        <v>13</v>
      </c>
      <c r="D314" t="str">
        <f>"14"</f>
        <v>14</v>
      </c>
      <c r="E314" t="str">
        <f>"102-13-14"</f>
        <v>102-13-14</v>
      </c>
      <c r="F314" t="s">
        <v>27</v>
      </c>
      <c r="G314" t="s">
        <v>28</v>
      </c>
      <c r="H314">
        <v>1</v>
      </c>
      <c r="Q314">
        <v>0</v>
      </c>
      <c r="R314">
        <v>1</v>
      </c>
      <c r="S314">
        <v>0</v>
      </c>
      <c r="T314">
        <v>1</v>
      </c>
      <c r="U314">
        <v>1</v>
      </c>
      <c r="V314">
        <v>0</v>
      </c>
    </row>
    <row r="315" spans="1:22" x14ac:dyDescent="0.25">
      <c r="A315" t="str">
        <f>"311"</f>
        <v>311</v>
      </c>
      <c r="B315" t="str">
        <f t="shared" si="15"/>
        <v>102</v>
      </c>
      <c r="C315" t="str">
        <f t="shared" si="17"/>
        <v>13</v>
      </c>
      <c r="D315" t="str">
        <f>"5"</f>
        <v>5</v>
      </c>
      <c r="E315" t="str">
        <f>"102-13-5"</f>
        <v>102-13-5</v>
      </c>
      <c r="F315" t="s">
        <v>27</v>
      </c>
      <c r="G315" t="s">
        <v>28</v>
      </c>
      <c r="H315">
        <v>1</v>
      </c>
      <c r="Q315">
        <v>1</v>
      </c>
      <c r="R315">
        <v>0</v>
      </c>
      <c r="S315">
        <v>1</v>
      </c>
      <c r="T315">
        <v>0</v>
      </c>
      <c r="U315">
        <v>0</v>
      </c>
      <c r="V315">
        <v>1</v>
      </c>
    </row>
    <row r="316" spans="1:22" x14ac:dyDescent="0.25">
      <c r="A316" t="str">
        <f>"312"</f>
        <v>312</v>
      </c>
      <c r="B316" t="str">
        <f t="shared" si="15"/>
        <v>102</v>
      </c>
      <c r="C316" t="str">
        <f t="shared" si="17"/>
        <v>13</v>
      </c>
      <c r="D316" t="str">
        <f>"22"</f>
        <v>22</v>
      </c>
      <c r="E316" t="str">
        <f>"102-13-22"</f>
        <v>102-13-22</v>
      </c>
      <c r="F316" t="s">
        <v>27</v>
      </c>
      <c r="G316" t="s">
        <v>28</v>
      </c>
      <c r="H316">
        <v>1</v>
      </c>
      <c r="Q316">
        <v>0</v>
      </c>
      <c r="R316">
        <v>1</v>
      </c>
      <c r="S316">
        <v>0</v>
      </c>
      <c r="T316">
        <v>1</v>
      </c>
      <c r="U316">
        <v>0</v>
      </c>
      <c r="V316">
        <v>1</v>
      </c>
    </row>
    <row r="317" spans="1:22" x14ac:dyDescent="0.25">
      <c r="A317" t="str">
        <f>"313"</f>
        <v>313</v>
      </c>
      <c r="B317" t="str">
        <f t="shared" si="15"/>
        <v>102</v>
      </c>
      <c r="C317" t="str">
        <f t="shared" si="17"/>
        <v>13</v>
      </c>
      <c r="D317" t="str">
        <f>"15"</f>
        <v>15</v>
      </c>
      <c r="E317" t="str">
        <f>"102-13-15"</f>
        <v>102-13-15</v>
      </c>
      <c r="F317" t="s">
        <v>27</v>
      </c>
      <c r="G317" t="s">
        <v>28</v>
      </c>
      <c r="H317">
        <v>1</v>
      </c>
      <c r="Q317">
        <v>0</v>
      </c>
      <c r="R317">
        <v>1</v>
      </c>
      <c r="S317">
        <v>1</v>
      </c>
      <c r="T317">
        <v>0</v>
      </c>
      <c r="U317">
        <v>0</v>
      </c>
      <c r="V317">
        <v>1</v>
      </c>
    </row>
    <row r="318" spans="1:22" x14ac:dyDescent="0.25">
      <c r="A318" t="str">
        <f>"314"</f>
        <v>314</v>
      </c>
      <c r="B318" t="str">
        <f t="shared" si="15"/>
        <v>102</v>
      </c>
      <c r="C318" t="str">
        <f t="shared" si="17"/>
        <v>13</v>
      </c>
      <c r="D318" t="str">
        <f>"23"</f>
        <v>23</v>
      </c>
      <c r="E318" t="str">
        <f>"102-13-23"</f>
        <v>102-13-23</v>
      </c>
      <c r="F318" t="s">
        <v>27</v>
      </c>
      <c r="G318" t="s">
        <v>28</v>
      </c>
      <c r="H318">
        <v>1</v>
      </c>
      <c r="Q318">
        <v>0</v>
      </c>
      <c r="R318">
        <v>1</v>
      </c>
      <c r="S318">
        <v>0</v>
      </c>
      <c r="T318">
        <v>1</v>
      </c>
      <c r="U318">
        <v>0</v>
      </c>
      <c r="V318">
        <v>1</v>
      </c>
    </row>
    <row r="319" spans="1:22" x14ac:dyDescent="0.25">
      <c r="A319" t="str">
        <f>"315"</f>
        <v>315</v>
      </c>
      <c r="B319" t="str">
        <f t="shared" si="15"/>
        <v>102</v>
      </c>
      <c r="C319" t="str">
        <f t="shared" si="17"/>
        <v>13</v>
      </c>
      <c r="D319" t="str">
        <f>"16"</f>
        <v>16</v>
      </c>
      <c r="E319" t="str">
        <f>"102-13-16"</f>
        <v>102-13-16</v>
      </c>
      <c r="F319" t="s">
        <v>27</v>
      </c>
      <c r="G319" t="s">
        <v>28</v>
      </c>
      <c r="H319">
        <v>1</v>
      </c>
      <c r="Q319">
        <v>0</v>
      </c>
      <c r="R319">
        <v>1</v>
      </c>
      <c r="S319">
        <v>0</v>
      </c>
      <c r="T319">
        <v>1</v>
      </c>
      <c r="U319">
        <v>0</v>
      </c>
      <c r="V319">
        <v>1</v>
      </c>
    </row>
    <row r="320" spans="1:22" x14ac:dyDescent="0.25">
      <c r="A320" t="str">
        <f>"316"</f>
        <v>316</v>
      </c>
      <c r="B320" t="str">
        <f t="shared" si="15"/>
        <v>102</v>
      </c>
      <c r="C320" t="str">
        <f t="shared" si="17"/>
        <v>13</v>
      </c>
      <c r="D320" t="str">
        <f>"10"</f>
        <v>10</v>
      </c>
      <c r="E320" t="str">
        <f>"102-13-10"</f>
        <v>102-13-10</v>
      </c>
      <c r="F320" t="s">
        <v>27</v>
      </c>
      <c r="G320" t="s">
        <v>28</v>
      </c>
      <c r="H320">
        <v>1</v>
      </c>
      <c r="Q320">
        <v>0</v>
      </c>
      <c r="R320">
        <v>1</v>
      </c>
      <c r="S320">
        <v>0</v>
      </c>
      <c r="T320">
        <v>1</v>
      </c>
      <c r="U320">
        <v>0</v>
      </c>
      <c r="V320">
        <v>1</v>
      </c>
    </row>
    <row r="321" spans="1:24" x14ac:dyDescent="0.25">
      <c r="A321" t="str">
        <f>"317"</f>
        <v>317</v>
      </c>
      <c r="B321" t="str">
        <f t="shared" si="15"/>
        <v>102</v>
      </c>
      <c r="C321" t="str">
        <f t="shared" si="17"/>
        <v>13</v>
      </c>
      <c r="D321" t="str">
        <f>"17"</f>
        <v>17</v>
      </c>
      <c r="E321" t="str">
        <f>"102-13-17"</f>
        <v>102-13-17</v>
      </c>
      <c r="F321" t="s">
        <v>27</v>
      </c>
      <c r="G321" t="s">
        <v>28</v>
      </c>
      <c r="H321">
        <v>1</v>
      </c>
      <c r="Q321">
        <v>1</v>
      </c>
      <c r="R321">
        <v>0</v>
      </c>
      <c r="S321">
        <v>0</v>
      </c>
      <c r="T321">
        <v>1</v>
      </c>
      <c r="U321">
        <v>1</v>
      </c>
      <c r="V321">
        <v>0</v>
      </c>
    </row>
    <row r="322" spans="1:24" x14ac:dyDescent="0.25">
      <c r="A322" t="str">
        <f>"318"</f>
        <v>318</v>
      </c>
      <c r="B322" t="str">
        <f t="shared" si="15"/>
        <v>102</v>
      </c>
      <c r="C322" t="str">
        <f t="shared" si="17"/>
        <v>13</v>
      </c>
      <c r="D322" t="str">
        <f>"8"</f>
        <v>8</v>
      </c>
      <c r="E322" t="str">
        <f>"102-13-8"</f>
        <v>102-13-8</v>
      </c>
      <c r="F322" t="s">
        <v>27</v>
      </c>
      <c r="G322" t="s">
        <v>28</v>
      </c>
      <c r="H322">
        <v>1</v>
      </c>
      <c r="Q322">
        <v>0</v>
      </c>
      <c r="R322">
        <v>1</v>
      </c>
      <c r="S322">
        <v>1</v>
      </c>
      <c r="T322">
        <v>0</v>
      </c>
      <c r="U322">
        <v>1</v>
      </c>
      <c r="V322">
        <v>0</v>
      </c>
    </row>
    <row r="323" spans="1:24" x14ac:dyDescent="0.25">
      <c r="A323" t="str">
        <f>"319"</f>
        <v>319</v>
      </c>
      <c r="B323" t="str">
        <f t="shared" si="15"/>
        <v>102</v>
      </c>
      <c r="C323" t="str">
        <f t="shared" si="17"/>
        <v>13</v>
      </c>
      <c r="D323" t="str">
        <f>"18"</f>
        <v>18</v>
      </c>
      <c r="E323" t="str">
        <f>"102-13-18"</f>
        <v>102-13-18</v>
      </c>
      <c r="F323" t="s">
        <v>27</v>
      </c>
      <c r="G323" t="s">
        <v>28</v>
      </c>
      <c r="H323">
        <v>1</v>
      </c>
      <c r="Q323">
        <v>0</v>
      </c>
      <c r="R323">
        <v>1</v>
      </c>
      <c r="S323">
        <v>0</v>
      </c>
      <c r="T323">
        <v>1</v>
      </c>
      <c r="U323">
        <v>0</v>
      </c>
      <c r="V323">
        <v>1</v>
      </c>
    </row>
    <row r="324" spans="1:24" x14ac:dyDescent="0.25">
      <c r="A324" t="str">
        <f>"320"</f>
        <v>320</v>
      </c>
      <c r="B324" t="str">
        <f t="shared" si="15"/>
        <v>102</v>
      </c>
      <c r="C324" t="str">
        <f t="shared" si="17"/>
        <v>13</v>
      </c>
      <c r="D324" t="str">
        <f>"3"</f>
        <v>3</v>
      </c>
      <c r="E324" t="str">
        <f>"102-13-3"</f>
        <v>102-13-3</v>
      </c>
      <c r="F324" t="s">
        <v>27</v>
      </c>
      <c r="G324" t="s">
        <v>28</v>
      </c>
      <c r="H324">
        <v>1</v>
      </c>
      <c r="Q324">
        <v>0</v>
      </c>
      <c r="R324">
        <v>1</v>
      </c>
      <c r="S324">
        <v>0</v>
      </c>
      <c r="T324">
        <v>1</v>
      </c>
      <c r="U324">
        <v>0</v>
      </c>
      <c r="V324">
        <v>0</v>
      </c>
    </row>
    <row r="325" spans="1:24" x14ac:dyDescent="0.25">
      <c r="A325" t="str">
        <f>"321"</f>
        <v>321</v>
      </c>
      <c r="B325" t="str">
        <f t="shared" ref="B325:B388" si="18">"102"</f>
        <v>102</v>
      </c>
      <c r="C325" t="str">
        <f t="shared" si="17"/>
        <v>13</v>
      </c>
      <c r="D325" t="str">
        <f>"19"</f>
        <v>19</v>
      </c>
      <c r="E325" t="str">
        <f>"102-13-19"</f>
        <v>102-13-19</v>
      </c>
      <c r="F325" t="s">
        <v>27</v>
      </c>
      <c r="G325" t="s">
        <v>28</v>
      </c>
      <c r="H325">
        <v>1</v>
      </c>
      <c r="Q325">
        <v>1</v>
      </c>
      <c r="R325">
        <v>0</v>
      </c>
      <c r="S325">
        <v>0</v>
      </c>
      <c r="T325">
        <v>0</v>
      </c>
      <c r="U325">
        <v>0</v>
      </c>
      <c r="V325">
        <v>0</v>
      </c>
    </row>
    <row r="326" spans="1:24" x14ac:dyDescent="0.25">
      <c r="A326" t="str">
        <f>"322"</f>
        <v>322</v>
      </c>
      <c r="B326" t="str">
        <f t="shared" si="18"/>
        <v>102</v>
      </c>
      <c r="C326" t="str">
        <f t="shared" si="17"/>
        <v>13</v>
      </c>
      <c r="D326" t="str">
        <f>"7"</f>
        <v>7</v>
      </c>
      <c r="E326" t="str">
        <f>"102-13-7"</f>
        <v>102-13-7</v>
      </c>
      <c r="F326" t="s">
        <v>27</v>
      </c>
      <c r="G326" t="s">
        <v>28</v>
      </c>
      <c r="H326">
        <v>1</v>
      </c>
      <c r="Q326">
        <v>0</v>
      </c>
      <c r="R326">
        <v>1</v>
      </c>
      <c r="S326">
        <v>0</v>
      </c>
      <c r="T326">
        <v>1</v>
      </c>
      <c r="U326">
        <v>0</v>
      </c>
      <c r="V326">
        <v>1</v>
      </c>
    </row>
    <row r="327" spans="1:24" x14ac:dyDescent="0.25">
      <c r="A327" t="str">
        <f>"323"</f>
        <v>323</v>
      </c>
      <c r="B327" t="str">
        <f t="shared" si="18"/>
        <v>102</v>
      </c>
      <c r="C327" t="str">
        <f t="shared" si="17"/>
        <v>13</v>
      </c>
      <c r="D327" t="str">
        <f>"20"</f>
        <v>20</v>
      </c>
      <c r="E327" t="str">
        <f>"102-13-20"</f>
        <v>102-13-20</v>
      </c>
      <c r="F327" t="s">
        <v>27</v>
      </c>
      <c r="G327" t="s">
        <v>28</v>
      </c>
      <c r="H327">
        <v>1</v>
      </c>
      <c r="Q327">
        <v>1</v>
      </c>
      <c r="R327">
        <v>0</v>
      </c>
      <c r="S327">
        <v>0</v>
      </c>
      <c r="T327">
        <v>1</v>
      </c>
      <c r="U327">
        <v>0</v>
      </c>
      <c r="V327">
        <v>1</v>
      </c>
    </row>
    <row r="328" spans="1:24" x14ac:dyDescent="0.25">
      <c r="A328" t="str">
        <f>"324"</f>
        <v>324</v>
      </c>
      <c r="B328" t="str">
        <f t="shared" si="18"/>
        <v>102</v>
      </c>
      <c r="C328" t="str">
        <f t="shared" si="17"/>
        <v>13</v>
      </c>
      <c r="D328" t="str">
        <f>"6"</f>
        <v>6</v>
      </c>
      <c r="E328" t="str">
        <f>"102-13-6"</f>
        <v>102-13-6</v>
      </c>
      <c r="F328" t="s">
        <v>27</v>
      </c>
      <c r="G328" t="s">
        <v>28</v>
      </c>
      <c r="H328">
        <v>1</v>
      </c>
      <c r="Q328">
        <v>1</v>
      </c>
      <c r="R328">
        <v>0</v>
      </c>
      <c r="S328">
        <v>1</v>
      </c>
      <c r="T328">
        <v>0</v>
      </c>
      <c r="U328">
        <v>0</v>
      </c>
      <c r="V328">
        <v>1</v>
      </c>
    </row>
    <row r="329" spans="1:24" x14ac:dyDescent="0.25">
      <c r="A329" t="str">
        <f>"325"</f>
        <v>325</v>
      </c>
      <c r="B329" t="str">
        <f t="shared" si="18"/>
        <v>102</v>
      </c>
      <c r="C329" t="str">
        <f t="shared" si="17"/>
        <v>13</v>
      </c>
      <c r="D329" t="str">
        <f>"9"</f>
        <v>9</v>
      </c>
      <c r="E329" t="str">
        <f>"102-13-9"</f>
        <v>102-13-9</v>
      </c>
      <c r="F329" t="s">
        <v>27</v>
      </c>
      <c r="G329" t="s">
        <v>28</v>
      </c>
      <c r="H329">
        <v>1</v>
      </c>
      <c r="Q329">
        <v>0</v>
      </c>
      <c r="R329">
        <v>1</v>
      </c>
      <c r="S329">
        <v>0</v>
      </c>
      <c r="T329">
        <v>1</v>
      </c>
      <c r="U329">
        <v>0</v>
      </c>
      <c r="V329">
        <v>1</v>
      </c>
    </row>
    <row r="330" spans="1:24" x14ac:dyDescent="0.25">
      <c r="A330" t="str">
        <f>"326"</f>
        <v>326</v>
      </c>
      <c r="B330" t="str">
        <f t="shared" si="18"/>
        <v>102</v>
      </c>
      <c r="C330" t="str">
        <f t="shared" ref="C330:C354" si="19">"14"</f>
        <v>14</v>
      </c>
      <c r="D330" t="str">
        <f>"23"</f>
        <v>23</v>
      </c>
      <c r="E330" t="str">
        <f>"102-14-23"</f>
        <v>102-14-23</v>
      </c>
      <c r="F330" t="s">
        <v>27</v>
      </c>
      <c r="G330" t="s">
        <v>28</v>
      </c>
      <c r="H330">
        <v>1</v>
      </c>
      <c r="Q330">
        <v>0</v>
      </c>
      <c r="R330">
        <v>1</v>
      </c>
      <c r="S330">
        <v>0</v>
      </c>
      <c r="T330">
        <v>1</v>
      </c>
      <c r="U330">
        <v>1</v>
      </c>
      <c r="V330">
        <v>0</v>
      </c>
    </row>
    <row r="331" spans="1:24" x14ac:dyDescent="0.25">
      <c r="A331" t="str">
        <f>"327"</f>
        <v>327</v>
      </c>
      <c r="B331" t="str">
        <f t="shared" si="18"/>
        <v>102</v>
      </c>
      <c r="C331" t="str">
        <f t="shared" si="19"/>
        <v>14</v>
      </c>
      <c r="D331" t="str">
        <f>"11"</f>
        <v>11</v>
      </c>
      <c r="E331" t="str">
        <f>"102-14-11"</f>
        <v>102-14-11</v>
      </c>
      <c r="F331" t="s">
        <v>27</v>
      </c>
      <c r="G331" t="s">
        <v>30</v>
      </c>
      <c r="H331">
        <v>2</v>
      </c>
      <c r="I331">
        <v>0</v>
      </c>
      <c r="J331">
        <v>0</v>
      </c>
      <c r="K331">
        <v>0</v>
      </c>
      <c r="L331">
        <v>1</v>
      </c>
      <c r="Q331">
        <v>0</v>
      </c>
      <c r="R331">
        <v>1</v>
      </c>
      <c r="S331">
        <v>0</v>
      </c>
      <c r="T331">
        <v>1</v>
      </c>
      <c r="U331">
        <v>0</v>
      </c>
      <c r="V331">
        <v>1</v>
      </c>
      <c r="W331">
        <v>0</v>
      </c>
      <c r="X331">
        <v>1</v>
      </c>
    </row>
    <row r="332" spans="1:24" x14ac:dyDescent="0.25">
      <c r="A332" t="str">
        <f>"328"</f>
        <v>328</v>
      </c>
      <c r="B332" t="str">
        <f t="shared" si="18"/>
        <v>102</v>
      </c>
      <c r="C332" t="str">
        <f t="shared" si="19"/>
        <v>14</v>
      </c>
      <c r="D332" t="str">
        <f>"1"</f>
        <v>1</v>
      </c>
      <c r="E332" t="str">
        <f>"102-14-1"</f>
        <v>102-14-1</v>
      </c>
      <c r="F332" t="s">
        <v>27</v>
      </c>
      <c r="G332" t="s">
        <v>28</v>
      </c>
      <c r="H332">
        <v>1</v>
      </c>
      <c r="Q332">
        <v>0</v>
      </c>
      <c r="R332">
        <v>1</v>
      </c>
      <c r="S332">
        <v>0</v>
      </c>
      <c r="T332">
        <v>1</v>
      </c>
      <c r="U332">
        <v>0</v>
      </c>
      <c r="V332">
        <v>1</v>
      </c>
    </row>
    <row r="333" spans="1:24" x14ac:dyDescent="0.25">
      <c r="A333" t="str">
        <f>"329"</f>
        <v>329</v>
      </c>
      <c r="B333" t="str">
        <f t="shared" si="18"/>
        <v>102</v>
      </c>
      <c r="C333" t="str">
        <f t="shared" si="19"/>
        <v>14</v>
      </c>
      <c r="D333" t="str">
        <f>"12"</f>
        <v>12</v>
      </c>
      <c r="E333" t="str">
        <f>"102-14-12"</f>
        <v>102-14-12</v>
      </c>
      <c r="F333" t="s">
        <v>27</v>
      </c>
      <c r="G333" t="s">
        <v>30</v>
      </c>
      <c r="H333">
        <v>2</v>
      </c>
      <c r="I333">
        <v>0</v>
      </c>
      <c r="J333">
        <v>0</v>
      </c>
      <c r="K333">
        <v>0</v>
      </c>
      <c r="L333">
        <v>1</v>
      </c>
      <c r="Q333">
        <v>0</v>
      </c>
      <c r="R333">
        <v>1</v>
      </c>
      <c r="S333">
        <v>0</v>
      </c>
      <c r="T333">
        <v>1</v>
      </c>
      <c r="U333">
        <v>0</v>
      </c>
      <c r="V333">
        <v>1</v>
      </c>
      <c r="W333">
        <v>0</v>
      </c>
      <c r="X333">
        <v>1</v>
      </c>
    </row>
    <row r="334" spans="1:24" x14ac:dyDescent="0.25">
      <c r="A334" t="str">
        <f>"330"</f>
        <v>330</v>
      </c>
      <c r="B334" t="str">
        <f t="shared" si="18"/>
        <v>102</v>
      </c>
      <c r="C334" t="str">
        <f t="shared" si="19"/>
        <v>14</v>
      </c>
      <c r="D334" t="str">
        <f>"2"</f>
        <v>2</v>
      </c>
      <c r="E334" t="str">
        <f>"102-14-2"</f>
        <v>102-14-2</v>
      </c>
      <c r="F334" t="s">
        <v>27</v>
      </c>
      <c r="G334" t="s">
        <v>28</v>
      </c>
      <c r="H334">
        <v>1</v>
      </c>
      <c r="Q334">
        <v>0</v>
      </c>
      <c r="R334">
        <v>1</v>
      </c>
      <c r="S334">
        <v>0</v>
      </c>
      <c r="T334">
        <v>1</v>
      </c>
      <c r="U334">
        <v>1</v>
      </c>
      <c r="V334">
        <v>0</v>
      </c>
    </row>
    <row r="335" spans="1:24" x14ac:dyDescent="0.25">
      <c r="A335" t="str">
        <f>"331"</f>
        <v>331</v>
      </c>
      <c r="B335" t="str">
        <f t="shared" si="18"/>
        <v>102</v>
      </c>
      <c r="C335" t="str">
        <f t="shared" si="19"/>
        <v>14</v>
      </c>
      <c r="D335" t="str">
        <f>"21"</f>
        <v>21</v>
      </c>
      <c r="E335" t="str">
        <f>"102-14-21"</f>
        <v>102-14-21</v>
      </c>
      <c r="F335" t="s">
        <v>27</v>
      </c>
      <c r="G335" t="s">
        <v>30</v>
      </c>
      <c r="H335">
        <v>2</v>
      </c>
      <c r="I335">
        <v>0</v>
      </c>
      <c r="J335">
        <v>0</v>
      </c>
      <c r="K335">
        <v>0</v>
      </c>
      <c r="L335">
        <v>1</v>
      </c>
      <c r="Q335">
        <v>0</v>
      </c>
      <c r="R335">
        <v>1</v>
      </c>
      <c r="S335">
        <v>0</v>
      </c>
      <c r="T335">
        <v>1</v>
      </c>
      <c r="U335">
        <v>0</v>
      </c>
      <c r="V335">
        <v>1</v>
      </c>
      <c r="W335">
        <v>0</v>
      </c>
      <c r="X335">
        <v>0</v>
      </c>
    </row>
    <row r="336" spans="1:24" x14ac:dyDescent="0.25">
      <c r="A336" t="str">
        <f>"332"</f>
        <v>332</v>
      </c>
      <c r="B336" t="str">
        <f t="shared" si="18"/>
        <v>102</v>
      </c>
      <c r="C336" t="str">
        <f t="shared" si="19"/>
        <v>14</v>
      </c>
      <c r="D336" t="str">
        <f>"13"</f>
        <v>13</v>
      </c>
      <c r="E336" t="str">
        <f>"102-14-13"</f>
        <v>102-14-13</v>
      </c>
      <c r="F336" t="s">
        <v>27</v>
      </c>
      <c r="G336" t="s">
        <v>28</v>
      </c>
      <c r="H336">
        <v>1</v>
      </c>
      <c r="Q336">
        <v>0</v>
      </c>
      <c r="R336">
        <v>1</v>
      </c>
      <c r="S336">
        <v>0</v>
      </c>
      <c r="T336">
        <v>1</v>
      </c>
      <c r="U336">
        <v>1</v>
      </c>
      <c r="V336">
        <v>0</v>
      </c>
    </row>
    <row r="337" spans="1:24" x14ac:dyDescent="0.25">
      <c r="A337" t="str">
        <f>"333"</f>
        <v>333</v>
      </c>
      <c r="B337" t="str">
        <f t="shared" si="18"/>
        <v>102</v>
      </c>
      <c r="C337" t="str">
        <f t="shared" si="19"/>
        <v>14</v>
      </c>
      <c r="D337" t="str">
        <f>"6"</f>
        <v>6</v>
      </c>
      <c r="E337" t="str">
        <f>"102-14-6"</f>
        <v>102-14-6</v>
      </c>
      <c r="F337" t="s">
        <v>27</v>
      </c>
      <c r="G337" t="s">
        <v>28</v>
      </c>
      <c r="H337">
        <v>1</v>
      </c>
      <c r="Q337">
        <v>0</v>
      </c>
      <c r="R337">
        <v>1</v>
      </c>
      <c r="S337">
        <v>0</v>
      </c>
      <c r="T337">
        <v>1</v>
      </c>
      <c r="U337">
        <v>0</v>
      </c>
      <c r="V337">
        <v>1</v>
      </c>
    </row>
    <row r="338" spans="1:24" x14ac:dyDescent="0.25">
      <c r="A338" t="str">
        <f>"334"</f>
        <v>334</v>
      </c>
      <c r="B338" t="str">
        <f t="shared" si="18"/>
        <v>102</v>
      </c>
      <c r="C338" t="str">
        <f t="shared" si="19"/>
        <v>14</v>
      </c>
      <c r="D338" t="str">
        <f>"22"</f>
        <v>22</v>
      </c>
      <c r="E338" t="str">
        <f>"102-14-22"</f>
        <v>102-14-22</v>
      </c>
      <c r="F338" t="s">
        <v>27</v>
      </c>
      <c r="G338" t="s">
        <v>28</v>
      </c>
      <c r="H338">
        <v>1</v>
      </c>
      <c r="Q338">
        <v>0</v>
      </c>
      <c r="R338">
        <v>0</v>
      </c>
      <c r="S338">
        <v>0</v>
      </c>
      <c r="T338">
        <v>1</v>
      </c>
      <c r="U338">
        <v>0</v>
      </c>
      <c r="V338">
        <v>1</v>
      </c>
    </row>
    <row r="339" spans="1:24" x14ac:dyDescent="0.25">
      <c r="A339" t="str">
        <f>"335"</f>
        <v>335</v>
      </c>
      <c r="B339" t="str">
        <f t="shared" si="18"/>
        <v>102</v>
      </c>
      <c r="C339" t="str">
        <f t="shared" si="19"/>
        <v>14</v>
      </c>
      <c r="D339" t="str">
        <f>"14"</f>
        <v>14</v>
      </c>
      <c r="E339" t="str">
        <f>"102-14-14"</f>
        <v>102-14-14</v>
      </c>
      <c r="F339" t="s">
        <v>27</v>
      </c>
      <c r="G339" t="s">
        <v>28</v>
      </c>
      <c r="H339">
        <v>1</v>
      </c>
      <c r="Q339">
        <v>0</v>
      </c>
      <c r="R339">
        <v>1</v>
      </c>
      <c r="S339">
        <v>0</v>
      </c>
      <c r="T339">
        <v>1</v>
      </c>
      <c r="U339">
        <v>0</v>
      </c>
      <c r="V339">
        <v>1</v>
      </c>
    </row>
    <row r="340" spans="1:24" x14ac:dyDescent="0.25">
      <c r="A340" t="str">
        <f>"336"</f>
        <v>336</v>
      </c>
      <c r="B340" t="str">
        <f t="shared" si="18"/>
        <v>102</v>
      </c>
      <c r="C340" t="str">
        <f t="shared" si="19"/>
        <v>14</v>
      </c>
      <c r="D340" t="str">
        <f>"3"</f>
        <v>3</v>
      </c>
      <c r="E340" t="str">
        <f>"102-14-3"</f>
        <v>102-14-3</v>
      </c>
      <c r="F340" t="s">
        <v>27</v>
      </c>
      <c r="G340" t="s">
        <v>28</v>
      </c>
      <c r="H340">
        <v>1</v>
      </c>
      <c r="Q340">
        <v>0</v>
      </c>
      <c r="R340">
        <v>1</v>
      </c>
      <c r="S340">
        <v>0</v>
      </c>
      <c r="T340">
        <v>1</v>
      </c>
      <c r="U340">
        <v>1</v>
      </c>
      <c r="V340">
        <v>0</v>
      </c>
    </row>
    <row r="341" spans="1:24" x14ac:dyDescent="0.25">
      <c r="A341" t="str">
        <f>"337"</f>
        <v>337</v>
      </c>
      <c r="B341" t="str">
        <f t="shared" si="18"/>
        <v>102</v>
      </c>
      <c r="C341" t="str">
        <f t="shared" si="19"/>
        <v>14</v>
      </c>
      <c r="D341" t="str">
        <f>"15"</f>
        <v>15</v>
      </c>
      <c r="E341" t="str">
        <f>"102-14-15"</f>
        <v>102-14-15</v>
      </c>
      <c r="F341" t="s">
        <v>27</v>
      </c>
      <c r="G341" t="s">
        <v>30</v>
      </c>
      <c r="H341">
        <v>2</v>
      </c>
      <c r="I341">
        <v>0</v>
      </c>
      <c r="J341">
        <v>0</v>
      </c>
      <c r="K341">
        <v>0</v>
      </c>
      <c r="L341">
        <v>1</v>
      </c>
      <c r="Q341">
        <v>0</v>
      </c>
      <c r="R341">
        <v>1</v>
      </c>
      <c r="S341">
        <v>0</v>
      </c>
      <c r="T341">
        <v>1</v>
      </c>
      <c r="U341">
        <v>0</v>
      </c>
      <c r="V341">
        <v>1</v>
      </c>
      <c r="W341">
        <v>0</v>
      </c>
      <c r="X341">
        <v>1</v>
      </c>
    </row>
    <row r="342" spans="1:24" x14ac:dyDescent="0.25">
      <c r="A342" t="str">
        <f>"338"</f>
        <v>338</v>
      </c>
      <c r="B342" t="str">
        <f t="shared" si="18"/>
        <v>102</v>
      </c>
      <c r="C342" t="str">
        <f t="shared" si="19"/>
        <v>14</v>
      </c>
      <c r="D342" t="str">
        <f>"8"</f>
        <v>8</v>
      </c>
      <c r="E342" t="str">
        <f>"102-14-8"</f>
        <v>102-14-8</v>
      </c>
      <c r="F342" t="s">
        <v>27</v>
      </c>
      <c r="G342" t="s">
        <v>28</v>
      </c>
      <c r="H342">
        <v>1</v>
      </c>
      <c r="Q342">
        <v>0</v>
      </c>
      <c r="R342">
        <v>1</v>
      </c>
      <c r="S342">
        <v>0</v>
      </c>
      <c r="T342">
        <v>1</v>
      </c>
      <c r="U342">
        <v>1</v>
      </c>
      <c r="V342">
        <v>0</v>
      </c>
    </row>
    <row r="343" spans="1:24" x14ac:dyDescent="0.25">
      <c r="A343" t="str">
        <f>"339"</f>
        <v>339</v>
      </c>
      <c r="B343" t="str">
        <f t="shared" si="18"/>
        <v>102</v>
      </c>
      <c r="C343" t="str">
        <f t="shared" si="19"/>
        <v>14</v>
      </c>
      <c r="D343" t="str">
        <f>"16"</f>
        <v>16</v>
      </c>
      <c r="E343" t="str">
        <f>"102-14-16"</f>
        <v>102-14-16</v>
      </c>
      <c r="F343" t="s">
        <v>27</v>
      </c>
      <c r="G343" t="s">
        <v>30</v>
      </c>
      <c r="H343">
        <v>2</v>
      </c>
      <c r="I343">
        <v>0</v>
      </c>
      <c r="J343">
        <v>0</v>
      </c>
      <c r="K343">
        <v>0</v>
      </c>
      <c r="L343">
        <v>1</v>
      </c>
      <c r="Q343">
        <v>0</v>
      </c>
      <c r="R343">
        <v>1</v>
      </c>
      <c r="S343">
        <v>0</v>
      </c>
      <c r="T343">
        <v>1</v>
      </c>
      <c r="U343">
        <v>0</v>
      </c>
      <c r="V343">
        <v>1</v>
      </c>
      <c r="W343">
        <v>0</v>
      </c>
      <c r="X343">
        <v>1</v>
      </c>
    </row>
    <row r="344" spans="1:24" x14ac:dyDescent="0.25">
      <c r="A344" t="str">
        <f>"340"</f>
        <v>340</v>
      </c>
      <c r="B344" t="str">
        <f t="shared" si="18"/>
        <v>102</v>
      </c>
      <c r="C344" t="str">
        <f t="shared" si="19"/>
        <v>14</v>
      </c>
      <c r="D344" t="str">
        <f>"7"</f>
        <v>7</v>
      </c>
      <c r="E344" t="str">
        <f>"102-14-7"</f>
        <v>102-14-7</v>
      </c>
      <c r="F344" t="s">
        <v>27</v>
      </c>
      <c r="G344" t="s">
        <v>28</v>
      </c>
      <c r="H344">
        <v>1</v>
      </c>
      <c r="Q344">
        <v>1</v>
      </c>
      <c r="R344">
        <v>0</v>
      </c>
      <c r="S344">
        <v>0</v>
      </c>
      <c r="T344">
        <v>1</v>
      </c>
      <c r="U344">
        <v>0</v>
      </c>
      <c r="V344">
        <v>1</v>
      </c>
    </row>
    <row r="345" spans="1:24" x14ac:dyDescent="0.25">
      <c r="A345" t="str">
        <f>"341"</f>
        <v>341</v>
      </c>
      <c r="B345" t="str">
        <f t="shared" si="18"/>
        <v>102</v>
      </c>
      <c r="C345" t="str">
        <f t="shared" si="19"/>
        <v>14</v>
      </c>
      <c r="D345" t="str">
        <f>"25"</f>
        <v>25</v>
      </c>
      <c r="E345" t="str">
        <f>"102-14-25"</f>
        <v>102-14-25</v>
      </c>
      <c r="F345" t="s">
        <v>27</v>
      </c>
      <c r="G345" t="s">
        <v>28</v>
      </c>
      <c r="H345">
        <v>1</v>
      </c>
      <c r="Q345">
        <v>1</v>
      </c>
      <c r="R345">
        <v>0</v>
      </c>
      <c r="S345">
        <v>0</v>
      </c>
      <c r="T345">
        <v>1</v>
      </c>
      <c r="U345">
        <v>1</v>
      </c>
      <c r="V345">
        <v>0</v>
      </c>
    </row>
    <row r="346" spans="1:24" x14ac:dyDescent="0.25">
      <c r="A346" t="str">
        <f>"342"</f>
        <v>342</v>
      </c>
      <c r="B346" t="str">
        <f t="shared" si="18"/>
        <v>102</v>
      </c>
      <c r="C346" t="str">
        <f t="shared" si="19"/>
        <v>14</v>
      </c>
      <c r="D346" t="str">
        <f>"17"</f>
        <v>17</v>
      </c>
      <c r="E346" t="str">
        <f>"102-14-17"</f>
        <v>102-14-17</v>
      </c>
      <c r="F346" t="s">
        <v>27</v>
      </c>
      <c r="G346" t="s">
        <v>28</v>
      </c>
      <c r="H346">
        <v>1</v>
      </c>
      <c r="Q346">
        <v>0</v>
      </c>
      <c r="R346">
        <v>1</v>
      </c>
      <c r="S346">
        <v>1</v>
      </c>
      <c r="T346">
        <v>0</v>
      </c>
      <c r="U346">
        <v>0</v>
      </c>
      <c r="V346">
        <v>1</v>
      </c>
    </row>
    <row r="347" spans="1:24" x14ac:dyDescent="0.25">
      <c r="A347" t="str">
        <f>"343"</f>
        <v>343</v>
      </c>
      <c r="B347" t="str">
        <f t="shared" si="18"/>
        <v>102</v>
      </c>
      <c r="C347" t="str">
        <f t="shared" si="19"/>
        <v>14</v>
      </c>
      <c r="D347" t="str">
        <f>"4"</f>
        <v>4</v>
      </c>
      <c r="E347" t="str">
        <f>"102-14-4"</f>
        <v>102-14-4</v>
      </c>
      <c r="F347" t="s">
        <v>27</v>
      </c>
      <c r="G347" t="s">
        <v>28</v>
      </c>
      <c r="H347">
        <v>1</v>
      </c>
      <c r="Q347">
        <v>0</v>
      </c>
      <c r="R347">
        <v>1</v>
      </c>
      <c r="S347">
        <v>0</v>
      </c>
      <c r="T347">
        <v>1</v>
      </c>
      <c r="U347">
        <v>0</v>
      </c>
      <c r="V347">
        <v>1</v>
      </c>
    </row>
    <row r="348" spans="1:24" x14ac:dyDescent="0.25">
      <c r="A348" t="str">
        <f>"344"</f>
        <v>344</v>
      </c>
      <c r="B348" t="str">
        <f t="shared" si="18"/>
        <v>102</v>
      </c>
      <c r="C348" t="str">
        <f t="shared" si="19"/>
        <v>14</v>
      </c>
      <c r="D348" t="str">
        <f>"24"</f>
        <v>24</v>
      </c>
      <c r="E348" t="str">
        <f>"102-14-24"</f>
        <v>102-14-24</v>
      </c>
      <c r="F348" t="s">
        <v>27</v>
      </c>
      <c r="G348" t="s">
        <v>28</v>
      </c>
      <c r="H348">
        <v>1</v>
      </c>
      <c r="Q348">
        <v>0</v>
      </c>
      <c r="R348">
        <v>1</v>
      </c>
      <c r="S348">
        <v>0</v>
      </c>
      <c r="T348">
        <v>1</v>
      </c>
      <c r="U348">
        <v>1</v>
      </c>
      <c r="V348">
        <v>0</v>
      </c>
    </row>
    <row r="349" spans="1:24" x14ac:dyDescent="0.25">
      <c r="A349" t="str">
        <f>"345"</f>
        <v>345</v>
      </c>
      <c r="B349" t="str">
        <f t="shared" si="18"/>
        <v>102</v>
      </c>
      <c r="C349" t="str">
        <f t="shared" si="19"/>
        <v>14</v>
      </c>
      <c r="D349" t="str">
        <f>"18"</f>
        <v>18</v>
      </c>
      <c r="E349" t="str">
        <f>"102-14-18"</f>
        <v>102-14-18</v>
      </c>
      <c r="F349" t="s">
        <v>27</v>
      </c>
      <c r="G349" t="s">
        <v>28</v>
      </c>
      <c r="H349">
        <v>1</v>
      </c>
      <c r="Q349">
        <v>0</v>
      </c>
      <c r="R349">
        <v>1</v>
      </c>
      <c r="S349">
        <v>0</v>
      </c>
      <c r="T349">
        <v>1</v>
      </c>
      <c r="U349">
        <v>0</v>
      </c>
      <c r="V349">
        <v>1</v>
      </c>
    </row>
    <row r="350" spans="1:24" x14ac:dyDescent="0.25">
      <c r="A350" t="str">
        <f>"346"</f>
        <v>346</v>
      </c>
      <c r="B350" t="str">
        <f t="shared" si="18"/>
        <v>102</v>
      </c>
      <c r="C350" t="str">
        <f t="shared" si="19"/>
        <v>14</v>
      </c>
      <c r="D350" t="str">
        <f>"5"</f>
        <v>5</v>
      </c>
      <c r="E350" t="str">
        <f>"102-14-5"</f>
        <v>102-14-5</v>
      </c>
      <c r="F350" t="s">
        <v>27</v>
      </c>
      <c r="G350" t="s">
        <v>28</v>
      </c>
      <c r="H350">
        <v>1</v>
      </c>
      <c r="Q350">
        <v>0</v>
      </c>
      <c r="R350">
        <v>1</v>
      </c>
      <c r="S350">
        <v>0</v>
      </c>
      <c r="T350">
        <v>1</v>
      </c>
      <c r="U350">
        <v>0</v>
      </c>
      <c r="V350">
        <v>1</v>
      </c>
    </row>
    <row r="351" spans="1:24" x14ac:dyDescent="0.25">
      <c r="A351" t="str">
        <f>"347"</f>
        <v>347</v>
      </c>
      <c r="B351" t="str">
        <f t="shared" si="18"/>
        <v>102</v>
      </c>
      <c r="C351" t="str">
        <f t="shared" si="19"/>
        <v>14</v>
      </c>
      <c r="D351" t="str">
        <f>"19"</f>
        <v>19</v>
      </c>
      <c r="E351" t="str">
        <f>"102-14-19"</f>
        <v>102-14-19</v>
      </c>
      <c r="F351" t="s">
        <v>27</v>
      </c>
      <c r="G351" t="s">
        <v>28</v>
      </c>
      <c r="H351">
        <v>1</v>
      </c>
      <c r="Q351">
        <v>0</v>
      </c>
      <c r="R351">
        <v>1</v>
      </c>
      <c r="S351">
        <v>0</v>
      </c>
      <c r="T351">
        <v>1</v>
      </c>
      <c r="U351">
        <v>1</v>
      </c>
      <c r="V351">
        <v>0</v>
      </c>
    </row>
    <row r="352" spans="1:24" x14ac:dyDescent="0.25">
      <c r="A352" t="str">
        <f>"348"</f>
        <v>348</v>
      </c>
      <c r="B352" t="str">
        <f t="shared" si="18"/>
        <v>102</v>
      </c>
      <c r="C352" t="str">
        <f t="shared" si="19"/>
        <v>14</v>
      </c>
      <c r="D352" t="str">
        <f>"10"</f>
        <v>10</v>
      </c>
      <c r="E352" t="str">
        <f>"102-14-10"</f>
        <v>102-14-10</v>
      </c>
      <c r="F352" t="s">
        <v>27</v>
      </c>
      <c r="G352" t="s">
        <v>28</v>
      </c>
      <c r="H352">
        <v>1</v>
      </c>
      <c r="Q352">
        <v>1</v>
      </c>
      <c r="R352">
        <v>0</v>
      </c>
      <c r="S352">
        <v>0</v>
      </c>
      <c r="T352">
        <v>1</v>
      </c>
      <c r="U352">
        <v>1</v>
      </c>
      <c r="V352">
        <v>0</v>
      </c>
    </row>
    <row r="353" spans="1:26" x14ac:dyDescent="0.25">
      <c r="A353" t="str">
        <f>"349"</f>
        <v>349</v>
      </c>
      <c r="B353" t="str">
        <f t="shared" si="18"/>
        <v>102</v>
      </c>
      <c r="C353" t="str">
        <f t="shared" si="19"/>
        <v>14</v>
      </c>
      <c r="D353" t="str">
        <f>"20"</f>
        <v>20</v>
      </c>
      <c r="E353" t="str">
        <f>"102-14-20"</f>
        <v>102-14-20</v>
      </c>
      <c r="F353" t="s">
        <v>27</v>
      </c>
      <c r="G353" t="s">
        <v>28</v>
      </c>
      <c r="H353">
        <v>1</v>
      </c>
      <c r="Q353">
        <v>1</v>
      </c>
      <c r="R353">
        <v>0</v>
      </c>
      <c r="S353">
        <v>0</v>
      </c>
      <c r="T353">
        <v>1</v>
      </c>
      <c r="U353">
        <v>0</v>
      </c>
      <c r="V353">
        <v>0</v>
      </c>
    </row>
    <row r="354" spans="1:26" x14ac:dyDescent="0.25">
      <c r="A354" t="str">
        <f>"350"</f>
        <v>350</v>
      </c>
      <c r="B354" t="str">
        <f t="shared" si="18"/>
        <v>102</v>
      </c>
      <c r="C354" t="str">
        <f t="shared" si="19"/>
        <v>14</v>
      </c>
      <c r="D354" t="str">
        <f>"9"</f>
        <v>9</v>
      </c>
      <c r="E354" t="str">
        <f>"102-14-9"</f>
        <v>102-14-9</v>
      </c>
      <c r="F354" t="s">
        <v>27</v>
      </c>
      <c r="G354" t="s">
        <v>28</v>
      </c>
      <c r="H354">
        <v>1</v>
      </c>
      <c r="Q354">
        <v>0</v>
      </c>
      <c r="R354">
        <v>1</v>
      </c>
      <c r="S354">
        <v>1</v>
      </c>
      <c r="T354">
        <v>0</v>
      </c>
      <c r="U354">
        <v>0</v>
      </c>
      <c r="V354">
        <v>1</v>
      </c>
    </row>
    <row r="355" spans="1:26" x14ac:dyDescent="0.25">
      <c r="A355" t="str">
        <f>"351"</f>
        <v>351</v>
      </c>
      <c r="B355" t="str">
        <f t="shared" si="18"/>
        <v>102</v>
      </c>
      <c r="C355" t="str">
        <f t="shared" ref="C355:C379" si="20">"15"</f>
        <v>15</v>
      </c>
      <c r="D355" t="str">
        <f>"22"</f>
        <v>22</v>
      </c>
      <c r="E355" t="str">
        <f>"102-15-22"</f>
        <v>102-15-22</v>
      </c>
      <c r="F355" t="s">
        <v>27</v>
      </c>
      <c r="G355" t="s">
        <v>28</v>
      </c>
      <c r="H355">
        <v>1</v>
      </c>
      <c r="Q355">
        <v>0</v>
      </c>
      <c r="R355">
        <v>1</v>
      </c>
      <c r="S355">
        <v>0</v>
      </c>
      <c r="T355">
        <v>1</v>
      </c>
      <c r="U355">
        <v>0</v>
      </c>
      <c r="V355">
        <v>1</v>
      </c>
    </row>
    <row r="356" spans="1:26" x14ac:dyDescent="0.25">
      <c r="A356" t="str">
        <f>"352"</f>
        <v>352</v>
      </c>
      <c r="B356" t="str">
        <f t="shared" si="18"/>
        <v>102</v>
      </c>
      <c r="C356" t="str">
        <f t="shared" si="20"/>
        <v>15</v>
      </c>
      <c r="D356" t="str">
        <f>"11"</f>
        <v>11</v>
      </c>
      <c r="E356" t="str">
        <f>"102-15-11"</f>
        <v>102-15-11</v>
      </c>
      <c r="F356" t="s">
        <v>27</v>
      </c>
      <c r="G356" t="s">
        <v>28</v>
      </c>
      <c r="H356">
        <v>1</v>
      </c>
      <c r="Q356">
        <v>1</v>
      </c>
      <c r="R356">
        <v>0</v>
      </c>
      <c r="S356">
        <v>1</v>
      </c>
      <c r="T356">
        <v>0</v>
      </c>
      <c r="U356">
        <v>0</v>
      </c>
      <c r="V356">
        <v>1</v>
      </c>
    </row>
    <row r="357" spans="1:26" x14ac:dyDescent="0.25">
      <c r="A357" t="str">
        <f>"353"</f>
        <v>353</v>
      </c>
      <c r="B357" t="str">
        <f t="shared" si="18"/>
        <v>102</v>
      </c>
      <c r="C357" t="str">
        <f t="shared" si="20"/>
        <v>15</v>
      </c>
      <c r="D357" t="str">
        <f>"2"</f>
        <v>2</v>
      </c>
      <c r="E357" t="str">
        <f>"102-15-2"</f>
        <v>102-15-2</v>
      </c>
      <c r="F357" t="s">
        <v>27</v>
      </c>
      <c r="G357" t="s">
        <v>28</v>
      </c>
      <c r="H357">
        <v>1</v>
      </c>
      <c r="Q357">
        <v>0</v>
      </c>
      <c r="R357">
        <v>1</v>
      </c>
      <c r="S357">
        <v>1</v>
      </c>
      <c r="T357">
        <v>0</v>
      </c>
      <c r="U357">
        <v>0</v>
      </c>
      <c r="V357">
        <v>1</v>
      </c>
    </row>
    <row r="358" spans="1:26" x14ac:dyDescent="0.25">
      <c r="A358" t="str">
        <f>"354"</f>
        <v>354</v>
      </c>
      <c r="B358" t="str">
        <f t="shared" si="18"/>
        <v>102</v>
      </c>
      <c r="C358" t="str">
        <f t="shared" si="20"/>
        <v>15</v>
      </c>
      <c r="D358" t="str">
        <f>"23"</f>
        <v>23</v>
      </c>
      <c r="E358" t="str">
        <f>"102-15-23"</f>
        <v>102-15-23</v>
      </c>
      <c r="F358" t="s">
        <v>27</v>
      </c>
      <c r="G358" t="s">
        <v>28</v>
      </c>
      <c r="H358">
        <v>1</v>
      </c>
      <c r="Q358">
        <v>0</v>
      </c>
      <c r="R358">
        <v>1</v>
      </c>
      <c r="S358">
        <v>0</v>
      </c>
      <c r="T358">
        <v>1</v>
      </c>
      <c r="U358">
        <v>0</v>
      </c>
      <c r="V358">
        <v>1</v>
      </c>
    </row>
    <row r="359" spans="1:26" x14ac:dyDescent="0.25">
      <c r="A359" t="str">
        <f>"355"</f>
        <v>355</v>
      </c>
      <c r="B359" t="str">
        <f t="shared" si="18"/>
        <v>102</v>
      </c>
      <c r="C359" t="str">
        <f t="shared" si="20"/>
        <v>15</v>
      </c>
      <c r="D359" t="str">
        <f>"12"</f>
        <v>12</v>
      </c>
      <c r="E359" t="str">
        <f>"102-15-12"</f>
        <v>102-15-12</v>
      </c>
      <c r="F359" t="s">
        <v>27</v>
      </c>
      <c r="G359" t="s">
        <v>28</v>
      </c>
      <c r="H359">
        <v>1</v>
      </c>
      <c r="Q359">
        <v>0</v>
      </c>
      <c r="R359">
        <v>1</v>
      </c>
      <c r="S359">
        <v>0</v>
      </c>
      <c r="T359">
        <v>1</v>
      </c>
      <c r="U359">
        <v>1</v>
      </c>
      <c r="V359">
        <v>0</v>
      </c>
    </row>
    <row r="360" spans="1:26" x14ac:dyDescent="0.25">
      <c r="A360" t="str">
        <f>"356"</f>
        <v>356</v>
      </c>
      <c r="B360" t="str">
        <f t="shared" si="18"/>
        <v>102</v>
      </c>
      <c r="C360" t="str">
        <f t="shared" si="20"/>
        <v>15</v>
      </c>
      <c r="D360" t="str">
        <f>"3"</f>
        <v>3</v>
      </c>
      <c r="E360" t="str">
        <f>"102-15-3"</f>
        <v>102-15-3</v>
      </c>
      <c r="F360" t="s">
        <v>27</v>
      </c>
      <c r="G360" t="s">
        <v>28</v>
      </c>
      <c r="H360">
        <v>1</v>
      </c>
      <c r="Q360">
        <v>0</v>
      </c>
      <c r="R360">
        <v>1</v>
      </c>
      <c r="S360">
        <v>0</v>
      </c>
      <c r="T360">
        <v>1</v>
      </c>
      <c r="U360">
        <v>0</v>
      </c>
      <c r="V360">
        <v>1</v>
      </c>
    </row>
    <row r="361" spans="1:26" x14ac:dyDescent="0.25">
      <c r="A361" t="str">
        <f>"357"</f>
        <v>357</v>
      </c>
      <c r="B361" t="str">
        <f t="shared" si="18"/>
        <v>102</v>
      </c>
      <c r="C361" t="str">
        <f t="shared" si="20"/>
        <v>15</v>
      </c>
      <c r="D361" t="str">
        <f>"24"</f>
        <v>24</v>
      </c>
      <c r="E361" t="str">
        <f>"102-15-24"</f>
        <v>102-15-24</v>
      </c>
      <c r="F361" t="s">
        <v>27</v>
      </c>
      <c r="G361" t="s">
        <v>28</v>
      </c>
      <c r="H361">
        <v>1</v>
      </c>
      <c r="Q361">
        <v>0</v>
      </c>
      <c r="R361">
        <v>1</v>
      </c>
      <c r="S361">
        <v>0</v>
      </c>
      <c r="T361">
        <v>1</v>
      </c>
      <c r="U361">
        <v>0</v>
      </c>
      <c r="V361">
        <v>1</v>
      </c>
    </row>
    <row r="362" spans="1:26" x14ac:dyDescent="0.25">
      <c r="A362" t="str">
        <f>"358"</f>
        <v>358</v>
      </c>
      <c r="B362" t="str">
        <f t="shared" si="18"/>
        <v>102</v>
      </c>
      <c r="C362" t="str">
        <f t="shared" si="20"/>
        <v>15</v>
      </c>
      <c r="D362" t="str">
        <f>"13"</f>
        <v>13</v>
      </c>
      <c r="E362" t="str">
        <f>"102-15-13"</f>
        <v>102-15-13</v>
      </c>
      <c r="F362" t="s">
        <v>27</v>
      </c>
      <c r="G362" t="s">
        <v>28</v>
      </c>
      <c r="H362">
        <v>1</v>
      </c>
      <c r="Q362">
        <v>1</v>
      </c>
      <c r="R362">
        <v>0</v>
      </c>
      <c r="S362">
        <v>1</v>
      </c>
      <c r="T362">
        <v>0</v>
      </c>
      <c r="U362">
        <v>1</v>
      </c>
      <c r="V362">
        <v>0</v>
      </c>
    </row>
    <row r="363" spans="1:26" x14ac:dyDescent="0.25">
      <c r="A363" t="str">
        <f>"359"</f>
        <v>359</v>
      </c>
      <c r="B363" t="str">
        <f t="shared" si="18"/>
        <v>102</v>
      </c>
      <c r="C363" t="str">
        <f t="shared" si="20"/>
        <v>15</v>
      </c>
      <c r="D363" t="str">
        <f>"8"</f>
        <v>8</v>
      </c>
      <c r="E363" t="str">
        <f>"102-15-8"</f>
        <v>102-15-8</v>
      </c>
      <c r="F363" t="s">
        <v>27</v>
      </c>
      <c r="G363" t="s">
        <v>28</v>
      </c>
      <c r="H363">
        <v>1</v>
      </c>
      <c r="Q363">
        <v>0</v>
      </c>
      <c r="R363">
        <v>1</v>
      </c>
      <c r="S363">
        <v>0</v>
      </c>
      <c r="T363">
        <v>1</v>
      </c>
      <c r="U363">
        <v>1</v>
      </c>
      <c r="V363">
        <v>0</v>
      </c>
    </row>
    <row r="364" spans="1:26" x14ac:dyDescent="0.25">
      <c r="A364" t="str">
        <f>"360"</f>
        <v>360</v>
      </c>
      <c r="B364" t="str">
        <f t="shared" si="18"/>
        <v>102</v>
      </c>
      <c r="C364" t="str">
        <f t="shared" si="20"/>
        <v>15</v>
      </c>
      <c r="D364" t="str">
        <f>"21"</f>
        <v>21</v>
      </c>
      <c r="E364" t="str">
        <f>"102-15-21"</f>
        <v>102-15-21</v>
      </c>
      <c r="F364" t="s">
        <v>27</v>
      </c>
      <c r="G364" t="s">
        <v>29</v>
      </c>
      <c r="H364">
        <v>3</v>
      </c>
      <c r="M364">
        <v>0</v>
      </c>
      <c r="N364">
        <v>1</v>
      </c>
      <c r="O364">
        <v>1</v>
      </c>
      <c r="P364">
        <v>1</v>
      </c>
      <c r="Q364">
        <v>1</v>
      </c>
      <c r="R364">
        <v>0</v>
      </c>
      <c r="S364">
        <v>1</v>
      </c>
      <c r="T364">
        <v>0</v>
      </c>
      <c r="U364">
        <v>1</v>
      </c>
      <c r="V364">
        <v>0</v>
      </c>
      <c r="Y364">
        <v>1</v>
      </c>
      <c r="Z364">
        <v>0</v>
      </c>
    </row>
    <row r="365" spans="1:26" x14ac:dyDescent="0.25">
      <c r="A365" t="str">
        <f>"361"</f>
        <v>361</v>
      </c>
      <c r="B365" t="str">
        <f t="shared" si="18"/>
        <v>102</v>
      </c>
      <c r="C365" t="str">
        <f t="shared" si="20"/>
        <v>15</v>
      </c>
      <c r="D365" t="str">
        <f>"14"</f>
        <v>14</v>
      </c>
      <c r="E365" t="str">
        <f>"102-15-14"</f>
        <v>102-15-14</v>
      </c>
      <c r="F365" t="s">
        <v>27</v>
      </c>
      <c r="G365" t="s">
        <v>28</v>
      </c>
      <c r="H365">
        <v>1</v>
      </c>
      <c r="Q365">
        <v>0</v>
      </c>
      <c r="R365">
        <v>1</v>
      </c>
      <c r="S365">
        <v>0</v>
      </c>
      <c r="T365">
        <v>1</v>
      </c>
      <c r="U365">
        <v>0</v>
      </c>
      <c r="V365">
        <v>1</v>
      </c>
    </row>
    <row r="366" spans="1:26" x14ac:dyDescent="0.25">
      <c r="A366" t="str">
        <f>"362"</f>
        <v>362</v>
      </c>
      <c r="B366" t="str">
        <f t="shared" si="18"/>
        <v>102</v>
      </c>
      <c r="C366" t="str">
        <f t="shared" si="20"/>
        <v>15</v>
      </c>
      <c r="D366" t="str">
        <f>"4"</f>
        <v>4</v>
      </c>
      <c r="E366" t="str">
        <f>"102-15-4"</f>
        <v>102-15-4</v>
      </c>
      <c r="F366" t="s">
        <v>27</v>
      </c>
      <c r="G366" t="s">
        <v>28</v>
      </c>
      <c r="H366">
        <v>1</v>
      </c>
      <c r="Q366">
        <v>1</v>
      </c>
      <c r="R366">
        <v>0</v>
      </c>
      <c r="S366">
        <v>1</v>
      </c>
      <c r="T366">
        <v>0</v>
      </c>
      <c r="U366">
        <v>0</v>
      </c>
      <c r="V366">
        <v>1</v>
      </c>
    </row>
    <row r="367" spans="1:26" x14ac:dyDescent="0.25">
      <c r="A367" t="str">
        <f>"363"</f>
        <v>363</v>
      </c>
      <c r="B367" t="str">
        <f t="shared" si="18"/>
        <v>102</v>
      </c>
      <c r="C367" t="str">
        <f t="shared" si="20"/>
        <v>15</v>
      </c>
      <c r="D367" t="str">
        <f>"15"</f>
        <v>15</v>
      </c>
      <c r="E367" t="str">
        <f>"102-15-15"</f>
        <v>102-15-15</v>
      </c>
      <c r="F367" t="s">
        <v>27</v>
      </c>
      <c r="G367" t="s">
        <v>28</v>
      </c>
      <c r="H367">
        <v>1</v>
      </c>
      <c r="Q367">
        <v>1</v>
      </c>
      <c r="R367">
        <v>0</v>
      </c>
      <c r="S367">
        <v>1</v>
      </c>
      <c r="T367">
        <v>0</v>
      </c>
      <c r="U367">
        <v>0</v>
      </c>
      <c r="V367">
        <v>1</v>
      </c>
    </row>
    <row r="368" spans="1:26" x14ac:dyDescent="0.25">
      <c r="A368" t="str">
        <f>"364"</f>
        <v>364</v>
      </c>
      <c r="B368" t="str">
        <f t="shared" si="18"/>
        <v>102</v>
      </c>
      <c r="C368" t="str">
        <f t="shared" si="20"/>
        <v>15</v>
      </c>
      <c r="D368" t="str">
        <f>"5"</f>
        <v>5</v>
      </c>
      <c r="E368" t="str">
        <f>"102-15-5"</f>
        <v>102-15-5</v>
      </c>
      <c r="F368" t="s">
        <v>27</v>
      </c>
      <c r="G368" t="s">
        <v>28</v>
      </c>
      <c r="H368">
        <v>1</v>
      </c>
      <c r="Q368">
        <v>1</v>
      </c>
      <c r="R368">
        <v>0</v>
      </c>
      <c r="S368">
        <v>1</v>
      </c>
      <c r="T368">
        <v>0</v>
      </c>
      <c r="U368">
        <v>1</v>
      </c>
      <c r="V368">
        <v>0</v>
      </c>
    </row>
    <row r="369" spans="1:26" x14ac:dyDescent="0.25">
      <c r="A369" t="str">
        <f>"365"</f>
        <v>365</v>
      </c>
      <c r="B369" t="str">
        <f t="shared" si="18"/>
        <v>102</v>
      </c>
      <c r="C369" t="str">
        <f t="shared" si="20"/>
        <v>15</v>
      </c>
      <c r="D369" t="str">
        <f>"16"</f>
        <v>16</v>
      </c>
      <c r="E369" t="str">
        <f>"102-15-16"</f>
        <v>102-15-16</v>
      </c>
      <c r="F369" t="s">
        <v>27</v>
      </c>
      <c r="G369" t="s">
        <v>28</v>
      </c>
      <c r="H369">
        <v>1</v>
      </c>
      <c r="Q369">
        <v>0</v>
      </c>
      <c r="R369">
        <v>1</v>
      </c>
      <c r="S369">
        <v>0</v>
      </c>
      <c r="T369">
        <v>1</v>
      </c>
      <c r="U369">
        <v>0</v>
      </c>
      <c r="V369">
        <v>1</v>
      </c>
    </row>
    <row r="370" spans="1:26" x14ac:dyDescent="0.25">
      <c r="A370" t="str">
        <f>"366"</f>
        <v>366</v>
      </c>
      <c r="B370" t="str">
        <f t="shared" si="18"/>
        <v>102</v>
      </c>
      <c r="C370" t="str">
        <f t="shared" si="20"/>
        <v>15</v>
      </c>
      <c r="D370" t="str">
        <f>"9"</f>
        <v>9</v>
      </c>
      <c r="E370" t="str">
        <f>"102-15-9"</f>
        <v>102-15-9</v>
      </c>
      <c r="F370" t="s">
        <v>27</v>
      </c>
      <c r="G370" t="s">
        <v>28</v>
      </c>
      <c r="H370">
        <v>1</v>
      </c>
      <c r="Q370">
        <v>0</v>
      </c>
      <c r="R370">
        <v>1</v>
      </c>
      <c r="S370">
        <v>0</v>
      </c>
      <c r="T370">
        <v>1</v>
      </c>
      <c r="U370">
        <v>0</v>
      </c>
      <c r="V370">
        <v>1</v>
      </c>
    </row>
    <row r="371" spans="1:26" x14ac:dyDescent="0.25">
      <c r="A371" t="str">
        <f>"367"</f>
        <v>367</v>
      </c>
      <c r="B371" t="str">
        <f t="shared" si="18"/>
        <v>102</v>
      </c>
      <c r="C371" t="str">
        <f t="shared" si="20"/>
        <v>15</v>
      </c>
      <c r="D371" t="str">
        <f>"17"</f>
        <v>17</v>
      </c>
      <c r="E371" t="str">
        <f>"102-15-17"</f>
        <v>102-15-17</v>
      </c>
      <c r="F371" t="s">
        <v>27</v>
      </c>
      <c r="G371" t="s">
        <v>28</v>
      </c>
      <c r="H371">
        <v>1</v>
      </c>
      <c r="Q371">
        <v>1</v>
      </c>
      <c r="R371">
        <v>0</v>
      </c>
      <c r="S371">
        <v>1</v>
      </c>
      <c r="T371">
        <v>0</v>
      </c>
      <c r="U371">
        <v>0</v>
      </c>
      <c r="V371">
        <v>1</v>
      </c>
    </row>
    <row r="372" spans="1:26" x14ac:dyDescent="0.25">
      <c r="A372" t="str">
        <f>"368"</f>
        <v>368</v>
      </c>
      <c r="B372" t="str">
        <f t="shared" si="18"/>
        <v>102</v>
      </c>
      <c r="C372" t="str">
        <f t="shared" si="20"/>
        <v>15</v>
      </c>
      <c r="D372" t="str">
        <f>"1"</f>
        <v>1</v>
      </c>
      <c r="E372" t="str">
        <f>"102-15-1"</f>
        <v>102-15-1</v>
      </c>
      <c r="F372" t="s">
        <v>27</v>
      </c>
      <c r="G372" t="s">
        <v>29</v>
      </c>
      <c r="H372">
        <v>3</v>
      </c>
      <c r="M372">
        <v>0</v>
      </c>
      <c r="N372">
        <v>0</v>
      </c>
      <c r="O372">
        <v>0</v>
      </c>
      <c r="P372">
        <v>0</v>
      </c>
      <c r="Q372">
        <v>1</v>
      </c>
      <c r="R372">
        <v>0</v>
      </c>
      <c r="S372">
        <v>1</v>
      </c>
      <c r="T372">
        <v>0</v>
      </c>
      <c r="U372">
        <v>1</v>
      </c>
      <c r="V372">
        <v>0</v>
      </c>
      <c r="Y372">
        <v>1</v>
      </c>
      <c r="Z372">
        <v>0</v>
      </c>
    </row>
    <row r="373" spans="1:26" x14ac:dyDescent="0.25">
      <c r="A373" t="str">
        <f>"369"</f>
        <v>369</v>
      </c>
      <c r="B373" t="str">
        <f t="shared" si="18"/>
        <v>102</v>
      </c>
      <c r="C373" t="str">
        <f t="shared" si="20"/>
        <v>15</v>
      </c>
      <c r="D373" t="str">
        <f>"18"</f>
        <v>18</v>
      </c>
      <c r="E373" t="str">
        <f>"102-15-18"</f>
        <v>102-15-18</v>
      </c>
      <c r="F373" t="s">
        <v>27</v>
      </c>
      <c r="G373" t="s">
        <v>28</v>
      </c>
      <c r="H373">
        <v>1</v>
      </c>
      <c r="Q373">
        <v>0</v>
      </c>
      <c r="R373">
        <v>1</v>
      </c>
      <c r="S373">
        <v>0</v>
      </c>
      <c r="T373">
        <v>1</v>
      </c>
      <c r="U373">
        <v>0</v>
      </c>
      <c r="V373">
        <v>1</v>
      </c>
    </row>
    <row r="374" spans="1:26" x14ac:dyDescent="0.25">
      <c r="A374" t="str">
        <f>"370"</f>
        <v>370</v>
      </c>
      <c r="B374" t="str">
        <f t="shared" si="18"/>
        <v>102</v>
      </c>
      <c r="C374" t="str">
        <f t="shared" si="20"/>
        <v>15</v>
      </c>
      <c r="D374" t="str">
        <f>"10"</f>
        <v>10</v>
      </c>
      <c r="E374" t="str">
        <f>"102-15-10"</f>
        <v>102-15-10</v>
      </c>
      <c r="F374" t="s">
        <v>27</v>
      </c>
      <c r="G374" t="s">
        <v>28</v>
      </c>
      <c r="H374">
        <v>1</v>
      </c>
      <c r="Q374">
        <v>0</v>
      </c>
      <c r="R374">
        <v>1</v>
      </c>
      <c r="S374">
        <v>0</v>
      </c>
      <c r="T374">
        <v>1</v>
      </c>
      <c r="U374">
        <v>0</v>
      </c>
      <c r="V374">
        <v>1</v>
      </c>
    </row>
    <row r="375" spans="1:26" x14ac:dyDescent="0.25">
      <c r="A375" t="str">
        <f>"371"</f>
        <v>371</v>
      </c>
      <c r="B375" t="str">
        <f t="shared" si="18"/>
        <v>102</v>
      </c>
      <c r="C375" t="str">
        <f t="shared" si="20"/>
        <v>15</v>
      </c>
      <c r="D375" t="str">
        <f>"19"</f>
        <v>19</v>
      </c>
      <c r="E375" t="str">
        <f>"102-15-19"</f>
        <v>102-15-19</v>
      </c>
      <c r="F375" t="s">
        <v>27</v>
      </c>
      <c r="G375" t="s">
        <v>28</v>
      </c>
      <c r="H375">
        <v>1</v>
      </c>
      <c r="Q375">
        <v>0</v>
      </c>
      <c r="R375">
        <v>1</v>
      </c>
      <c r="S375">
        <v>0</v>
      </c>
      <c r="T375">
        <v>1</v>
      </c>
      <c r="U375">
        <v>0</v>
      </c>
      <c r="V375">
        <v>1</v>
      </c>
    </row>
    <row r="376" spans="1:26" x14ac:dyDescent="0.25">
      <c r="A376" t="str">
        <f>"372"</f>
        <v>372</v>
      </c>
      <c r="B376" t="str">
        <f t="shared" si="18"/>
        <v>102</v>
      </c>
      <c r="C376" t="str">
        <f t="shared" si="20"/>
        <v>15</v>
      </c>
      <c r="D376" t="str">
        <f>"7"</f>
        <v>7</v>
      </c>
      <c r="E376" t="str">
        <f>"102-15-7"</f>
        <v>102-15-7</v>
      </c>
      <c r="F376" t="s">
        <v>27</v>
      </c>
      <c r="G376" t="s">
        <v>28</v>
      </c>
      <c r="H376">
        <v>1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1</v>
      </c>
    </row>
    <row r="377" spans="1:26" x14ac:dyDescent="0.25">
      <c r="A377" t="str">
        <f>"373"</f>
        <v>373</v>
      </c>
      <c r="B377" t="str">
        <f t="shared" si="18"/>
        <v>102</v>
      </c>
      <c r="C377" t="str">
        <f t="shared" si="20"/>
        <v>15</v>
      </c>
      <c r="D377" t="str">
        <f>"25"</f>
        <v>25</v>
      </c>
      <c r="E377" t="str">
        <f>"102-15-25"</f>
        <v>102-15-25</v>
      </c>
      <c r="F377" t="s">
        <v>27</v>
      </c>
      <c r="G377" t="s">
        <v>28</v>
      </c>
      <c r="H377">
        <v>1</v>
      </c>
      <c r="Q377">
        <v>0</v>
      </c>
      <c r="R377">
        <v>1</v>
      </c>
      <c r="S377">
        <v>0</v>
      </c>
      <c r="T377">
        <v>1</v>
      </c>
      <c r="U377">
        <v>0</v>
      </c>
      <c r="V377">
        <v>1</v>
      </c>
    </row>
    <row r="378" spans="1:26" x14ac:dyDescent="0.25">
      <c r="A378" t="str">
        <f>"374"</f>
        <v>374</v>
      </c>
      <c r="B378" t="str">
        <f t="shared" si="18"/>
        <v>102</v>
      </c>
      <c r="C378" t="str">
        <f t="shared" si="20"/>
        <v>15</v>
      </c>
      <c r="D378" t="str">
        <f>"20"</f>
        <v>20</v>
      </c>
      <c r="E378" t="str">
        <f>"102-15-20"</f>
        <v>102-15-20</v>
      </c>
      <c r="F378" t="s">
        <v>27</v>
      </c>
      <c r="G378" t="s">
        <v>28</v>
      </c>
      <c r="H378">
        <v>1</v>
      </c>
      <c r="Q378">
        <v>0</v>
      </c>
      <c r="R378">
        <v>1</v>
      </c>
      <c r="S378">
        <v>0</v>
      </c>
      <c r="T378">
        <v>1</v>
      </c>
      <c r="U378">
        <v>0</v>
      </c>
      <c r="V378">
        <v>1</v>
      </c>
    </row>
    <row r="379" spans="1:26" x14ac:dyDescent="0.25">
      <c r="A379" t="str">
        <f>"375"</f>
        <v>375</v>
      </c>
      <c r="B379" t="str">
        <f t="shared" si="18"/>
        <v>102</v>
      </c>
      <c r="C379" t="str">
        <f t="shared" si="20"/>
        <v>15</v>
      </c>
      <c r="D379" t="str">
        <f>"6"</f>
        <v>6</v>
      </c>
      <c r="E379" t="str">
        <f>"102-15-6"</f>
        <v>102-15-6</v>
      </c>
      <c r="F379" t="s">
        <v>27</v>
      </c>
      <c r="G379" t="s">
        <v>28</v>
      </c>
      <c r="H379">
        <v>1</v>
      </c>
      <c r="Q379">
        <v>0</v>
      </c>
      <c r="R379">
        <v>1</v>
      </c>
      <c r="S379">
        <v>0</v>
      </c>
      <c r="T379">
        <v>1</v>
      </c>
      <c r="U379">
        <v>0</v>
      </c>
      <c r="V379">
        <v>1</v>
      </c>
    </row>
    <row r="380" spans="1:26" x14ac:dyDescent="0.25">
      <c r="A380" t="str">
        <f>"376"</f>
        <v>376</v>
      </c>
      <c r="B380" t="str">
        <f t="shared" si="18"/>
        <v>102</v>
      </c>
      <c r="C380" t="str">
        <f t="shared" ref="C380:C404" si="21">"16"</f>
        <v>16</v>
      </c>
      <c r="D380" t="str">
        <f>"21"</f>
        <v>21</v>
      </c>
      <c r="E380" t="str">
        <f>"102-16-21"</f>
        <v>102-16-21</v>
      </c>
      <c r="F380" t="s">
        <v>27</v>
      </c>
      <c r="G380" t="s">
        <v>28</v>
      </c>
      <c r="H380">
        <v>1</v>
      </c>
      <c r="Q380">
        <v>0</v>
      </c>
      <c r="R380">
        <v>1</v>
      </c>
      <c r="S380">
        <v>0</v>
      </c>
      <c r="T380">
        <v>1</v>
      </c>
      <c r="U380">
        <v>0</v>
      </c>
      <c r="V380">
        <v>1</v>
      </c>
    </row>
    <row r="381" spans="1:26" x14ac:dyDescent="0.25">
      <c r="A381" t="str">
        <f>"377"</f>
        <v>377</v>
      </c>
      <c r="B381" t="str">
        <f t="shared" si="18"/>
        <v>102</v>
      </c>
      <c r="C381" t="str">
        <f t="shared" si="21"/>
        <v>16</v>
      </c>
      <c r="D381" t="str">
        <f>"11"</f>
        <v>11</v>
      </c>
      <c r="E381" t="str">
        <f>"102-16-11"</f>
        <v>102-16-11</v>
      </c>
      <c r="F381" t="s">
        <v>27</v>
      </c>
      <c r="G381" t="s">
        <v>28</v>
      </c>
      <c r="H381">
        <v>1</v>
      </c>
      <c r="Q381">
        <v>1</v>
      </c>
      <c r="R381">
        <v>0</v>
      </c>
      <c r="S381">
        <v>1</v>
      </c>
      <c r="T381">
        <v>0</v>
      </c>
      <c r="U381">
        <v>1</v>
      </c>
      <c r="V381">
        <v>0</v>
      </c>
    </row>
    <row r="382" spans="1:26" x14ac:dyDescent="0.25">
      <c r="A382" t="str">
        <f>"378"</f>
        <v>378</v>
      </c>
      <c r="B382" t="str">
        <f t="shared" si="18"/>
        <v>102</v>
      </c>
      <c r="C382" t="str">
        <f t="shared" si="21"/>
        <v>16</v>
      </c>
      <c r="D382" t="str">
        <f>"1"</f>
        <v>1</v>
      </c>
      <c r="E382" t="str">
        <f>"102-16-1"</f>
        <v>102-16-1</v>
      </c>
      <c r="F382" t="s">
        <v>27</v>
      </c>
      <c r="G382" t="s">
        <v>28</v>
      </c>
      <c r="H382">
        <v>1</v>
      </c>
      <c r="Q382">
        <v>0</v>
      </c>
      <c r="R382">
        <v>1</v>
      </c>
      <c r="S382">
        <v>0</v>
      </c>
      <c r="T382">
        <v>1</v>
      </c>
      <c r="U382">
        <v>0</v>
      </c>
      <c r="V382">
        <v>1</v>
      </c>
    </row>
    <row r="383" spans="1:26" x14ac:dyDescent="0.25">
      <c r="A383" t="str">
        <f>"379"</f>
        <v>379</v>
      </c>
      <c r="B383" t="str">
        <f t="shared" si="18"/>
        <v>102</v>
      </c>
      <c r="C383" t="str">
        <f t="shared" si="21"/>
        <v>16</v>
      </c>
      <c r="D383" t="str">
        <f>"22"</f>
        <v>22</v>
      </c>
      <c r="E383" t="str">
        <f>"102-16-22"</f>
        <v>102-16-22</v>
      </c>
      <c r="F383" t="s">
        <v>27</v>
      </c>
      <c r="G383" t="s">
        <v>28</v>
      </c>
      <c r="H383">
        <v>1</v>
      </c>
      <c r="Q383">
        <v>0</v>
      </c>
      <c r="R383">
        <v>1</v>
      </c>
      <c r="S383">
        <v>0</v>
      </c>
      <c r="T383">
        <v>1</v>
      </c>
      <c r="U383">
        <v>0</v>
      </c>
      <c r="V383">
        <v>1</v>
      </c>
    </row>
    <row r="384" spans="1:26" x14ac:dyDescent="0.25">
      <c r="A384" t="str">
        <f>"380"</f>
        <v>380</v>
      </c>
      <c r="B384" t="str">
        <f t="shared" si="18"/>
        <v>102</v>
      </c>
      <c r="C384" t="str">
        <f t="shared" si="21"/>
        <v>16</v>
      </c>
      <c r="D384" t="str">
        <f>"12"</f>
        <v>12</v>
      </c>
      <c r="E384" t="str">
        <f>"102-16-12"</f>
        <v>102-16-12</v>
      </c>
      <c r="F384" t="s">
        <v>27</v>
      </c>
      <c r="G384" t="s">
        <v>28</v>
      </c>
      <c r="H384">
        <v>1</v>
      </c>
      <c r="Q384">
        <v>0</v>
      </c>
      <c r="R384">
        <v>1</v>
      </c>
      <c r="S384">
        <v>0</v>
      </c>
      <c r="T384">
        <v>1</v>
      </c>
      <c r="U384">
        <v>0</v>
      </c>
      <c r="V384">
        <v>1</v>
      </c>
    </row>
    <row r="385" spans="1:22" x14ac:dyDescent="0.25">
      <c r="A385" t="str">
        <f>"381"</f>
        <v>381</v>
      </c>
      <c r="B385" t="str">
        <f t="shared" si="18"/>
        <v>102</v>
      </c>
      <c r="C385" t="str">
        <f t="shared" si="21"/>
        <v>16</v>
      </c>
      <c r="D385" t="str">
        <f>"2"</f>
        <v>2</v>
      </c>
      <c r="E385" t="str">
        <f>"102-16-2"</f>
        <v>102-16-2</v>
      </c>
      <c r="F385" t="s">
        <v>27</v>
      </c>
      <c r="G385" t="s">
        <v>28</v>
      </c>
      <c r="H385">
        <v>1</v>
      </c>
      <c r="Q385">
        <v>1</v>
      </c>
      <c r="R385">
        <v>0</v>
      </c>
      <c r="S385">
        <v>1</v>
      </c>
      <c r="T385">
        <v>0</v>
      </c>
      <c r="U385">
        <v>0</v>
      </c>
      <c r="V385">
        <v>1</v>
      </c>
    </row>
    <row r="386" spans="1:22" x14ac:dyDescent="0.25">
      <c r="A386" t="str">
        <f>"382"</f>
        <v>382</v>
      </c>
      <c r="B386" t="str">
        <f t="shared" si="18"/>
        <v>102</v>
      </c>
      <c r="C386" t="str">
        <f t="shared" si="21"/>
        <v>16</v>
      </c>
      <c r="D386" t="str">
        <f>"23"</f>
        <v>23</v>
      </c>
      <c r="E386" t="str">
        <f>"102-16-23"</f>
        <v>102-16-23</v>
      </c>
      <c r="F386" t="s">
        <v>27</v>
      </c>
      <c r="G386" t="s">
        <v>28</v>
      </c>
      <c r="H386">
        <v>1</v>
      </c>
      <c r="Q386">
        <v>0</v>
      </c>
      <c r="R386">
        <v>1</v>
      </c>
      <c r="S386">
        <v>0</v>
      </c>
      <c r="T386">
        <v>1</v>
      </c>
      <c r="U386">
        <v>0</v>
      </c>
      <c r="V386">
        <v>1</v>
      </c>
    </row>
    <row r="387" spans="1:22" x14ac:dyDescent="0.25">
      <c r="A387" t="str">
        <f>"383"</f>
        <v>383</v>
      </c>
      <c r="B387" t="str">
        <f t="shared" si="18"/>
        <v>102</v>
      </c>
      <c r="C387" t="str">
        <f t="shared" si="21"/>
        <v>16</v>
      </c>
      <c r="D387" t="str">
        <f>"13"</f>
        <v>13</v>
      </c>
      <c r="E387" t="str">
        <f>"102-16-13"</f>
        <v>102-16-13</v>
      </c>
      <c r="F387" t="s">
        <v>27</v>
      </c>
      <c r="G387" t="s">
        <v>28</v>
      </c>
      <c r="H387">
        <v>1</v>
      </c>
      <c r="Q387">
        <v>0</v>
      </c>
      <c r="R387">
        <v>1</v>
      </c>
      <c r="S387">
        <v>0</v>
      </c>
      <c r="T387">
        <v>1</v>
      </c>
      <c r="U387">
        <v>0</v>
      </c>
      <c r="V387">
        <v>1</v>
      </c>
    </row>
    <row r="388" spans="1:22" x14ac:dyDescent="0.25">
      <c r="A388" t="str">
        <f>"384"</f>
        <v>384</v>
      </c>
      <c r="B388" t="str">
        <f t="shared" si="18"/>
        <v>102</v>
      </c>
      <c r="C388" t="str">
        <f t="shared" si="21"/>
        <v>16</v>
      </c>
      <c r="D388" t="str">
        <f>"6"</f>
        <v>6</v>
      </c>
      <c r="E388" t="str">
        <f>"102-16-6"</f>
        <v>102-16-6</v>
      </c>
      <c r="F388" t="s">
        <v>27</v>
      </c>
      <c r="G388" t="s">
        <v>28</v>
      </c>
      <c r="H388">
        <v>1</v>
      </c>
      <c r="Q388">
        <v>1</v>
      </c>
      <c r="R388">
        <v>0</v>
      </c>
      <c r="S388">
        <v>1</v>
      </c>
      <c r="T388">
        <v>0</v>
      </c>
      <c r="U388">
        <v>1</v>
      </c>
      <c r="V388">
        <v>0</v>
      </c>
    </row>
    <row r="389" spans="1:22" x14ac:dyDescent="0.25">
      <c r="A389" t="str">
        <f>"385"</f>
        <v>385</v>
      </c>
      <c r="B389" t="str">
        <f t="shared" ref="B389:B452" si="22">"102"</f>
        <v>102</v>
      </c>
      <c r="C389" t="str">
        <f t="shared" si="21"/>
        <v>16</v>
      </c>
      <c r="D389" t="str">
        <f>"24"</f>
        <v>24</v>
      </c>
      <c r="E389" t="str">
        <f>"102-16-24"</f>
        <v>102-16-24</v>
      </c>
      <c r="F389" t="s">
        <v>27</v>
      </c>
      <c r="G389" t="s">
        <v>28</v>
      </c>
      <c r="H389">
        <v>1</v>
      </c>
      <c r="Q389">
        <v>0</v>
      </c>
      <c r="R389">
        <v>1</v>
      </c>
      <c r="S389">
        <v>0</v>
      </c>
      <c r="T389">
        <v>1</v>
      </c>
      <c r="U389">
        <v>1</v>
      </c>
      <c r="V389">
        <v>0</v>
      </c>
    </row>
    <row r="390" spans="1:22" x14ac:dyDescent="0.25">
      <c r="A390" t="str">
        <f>"386"</f>
        <v>386</v>
      </c>
      <c r="B390" t="str">
        <f t="shared" si="22"/>
        <v>102</v>
      </c>
      <c r="C390" t="str">
        <f t="shared" si="21"/>
        <v>16</v>
      </c>
      <c r="D390" t="str">
        <f>"14"</f>
        <v>14</v>
      </c>
      <c r="E390" t="str">
        <f>"102-16-14"</f>
        <v>102-16-14</v>
      </c>
      <c r="F390" t="s">
        <v>27</v>
      </c>
      <c r="G390" t="s">
        <v>28</v>
      </c>
      <c r="H390">
        <v>1</v>
      </c>
      <c r="Q390">
        <v>1</v>
      </c>
      <c r="R390">
        <v>0</v>
      </c>
      <c r="S390">
        <v>1</v>
      </c>
      <c r="T390">
        <v>0</v>
      </c>
      <c r="U390">
        <v>1</v>
      </c>
      <c r="V390">
        <v>0</v>
      </c>
    </row>
    <row r="391" spans="1:22" x14ac:dyDescent="0.25">
      <c r="A391" t="str">
        <f>"387"</f>
        <v>387</v>
      </c>
      <c r="B391" t="str">
        <f t="shared" si="22"/>
        <v>102</v>
      </c>
      <c r="C391" t="str">
        <f t="shared" si="21"/>
        <v>16</v>
      </c>
      <c r="D391" t="str">
        <f>"7"</f>
        <v>7</v>
      </c>
      <c r="E391" t="str">
        <f>"102-16-7"</f>
        <v>102-16-7</v>
      </c>
      <c r="F391" t="s">
        <v>27</v>
      </c>
      <c r="G391" t="s">
        <v>28</v>
      </c>
      <c r="H391">
        <v>1</v>
      </c>
      <c r="Q391">
        <v>0</v>
      </c>
      <c r="R391">
        <v>1</v>
      </c>
      <c r="S391">
        <v>0</v>
      </c>
      <c r="T391">
        <v>1</v>
      </c>
      <c r="U391">
        <v>0</v>
      </c>
      <c r="V391">
        <v>1</v>
      </c>
    </row>
    <row r="392" spans="1:22" x14ac:dyDescent="0.25">
      <c r="A392" t="str">
        <f>"388"</f>
        <v>388</v>
      </c>
      <c r="B392" t="str">
        <f t="shared" si="22"/>
        <v>102</v>
      </c>
      <c r="C392" t="str">
        <f t="shared" si="21"/>
        <v>16</v>
      </c>
      <c r="D392" t="str">
        <f>"25"</f>
        <v>25</v>
      </c>
      <c r="E392" t="str">
        <f>"102-16-25"</f>
        <v>102-16-25</v>
      </c>
      <c r="F392" t="s">
        <v>27</v>
      </c>
      <c r="G392" t="s">
        <v>28</v>
      </c>
      <c r="H392">
        <v>1</v>
      </c>
      <c r="Q392">
        <v>0</v>
      </c>
      <c r="R392">
        <v>1</v>
      </c>
      <c r="S392">
        <v>0</v>
      </c>
      <c r="T392">
        <v>1</v>
      </c>
      <c r="U392">
        <v>0</v>
      </c>
      <c r="V392">
        <v>1</v>
      </c>
    </row>
    <row r="393" spans="1:22" x14ac:dyDescent="0.25">
      <c r="A393" t="str">
        <f>"389"</f>
        <v>389</v>
      </c>
      <c r="B393" t="str">
        <f t="shared" si="22"/>
        <v>102</v>
      </c>
      <c r="C393" t="str">
        <f t="shared" si="21"/>
        <v>16</v>
      </c>
      <c r="D393" t="str">
        <f>"15"</f>
        <v>15</v>
      </c>
      <c r="E393" t="str">
        <f>"102-16-15"</f>
        <v>102-16-15</v>
      </c>
      <c r="F393" t="s">
        <v>27</v>
      </c>
      <c r="G393" t="s">
        <v>28</v>
      </c>
      <c r="H393">
        <v>1</v>
      </c>
      <c r="Q393">
        <v>1</v>
      </c>
      <c r="R393">
        <v>0</v>
      </c>
      <c r="S393">
        <v>0</v>
      </c>
      <c r="T393">
        <v>1</v>
      </c>
      <c r="U393">
        <v>1</v>
      </c>
      <c r="V393">
        <v>0</v>
      </c>
    </row>
    <row r="394" spans="1:22" x14ac:dyDescent="0.25">
      <c r="A394" t="str">
        <f>"390"</f>
        <v>390</v>
      </c>
      <c r="B394" t="str">
        <f t="shared" si="22"/>
        <v>102</v>
      </c>
      <c r="C394" t="str">
        <f t="shared" si="21"/>
        <v>16</v>
      </c>
      <c r="D394" t="str">
        <f>"8"</f>
        <v>8</v>
      </c>
      <c r="E394" t="str">
        <f>"102-16-8"</f>
        <v>102-16-8</v>
      </c>
      <c r="F394" t="s">
        <v>27</v>
      </c>
      <c r="G394" t="s">
        <v>28</v>
      </c>
      <c r="H394">
        <v>1</v>
      </c>
      <c r="Q394">
        <v>0</v>
      </c>
      <c r="R394">
        <v>1</v>
      </c>
      <c r="S394">
        <v>0</v>
      </c>
      <c r="T394">
        <v>1</v>
      </c>
      <c r="U394">
        <v>0</v>
      </c>
      <c r="V394">
        <v>1</v>
      </c>
    </row>
    <row r="395" spans="1:22" x14ac:dyDescent="0.25">
      <c r="A395" t="str">
        <f>"391"</f>
        <v>391</v>
      </c>
      <c r="B395" t="str">
        <f t="shared" si="22"/>
        <v>102</v>
      </c>
      <c r="C395" t="str">
        <f t="shared" si="21"/>
        <v>16</v>
      </c>
      <c r="D395" t="str">
        <f>"16"</f>
        <v>16</v>
      </c>
      <c r="E395" t="str">
        <f>"102-16-16"</f>
        <v>102-16-16</v>
      </c>
      <c r="F395" t="s">
        <v>27</v>
      </c>
      <c r="G395" t="s">
        <v>28</v>
      </c>
      <c r="H395">
        <v>1</v>
      </c>
      <c r="Q395">
        <v>0</v>
      </c>
      <c r="R395">
        <v>1</v>
      </c>
      <c r="S395">
        <v>0</v>
      </c>
      <c r="T395">
        <v>1</v>
      </c>
      <c r="U395">
        <v>0</v>
      </c>
      <c r="V395">
        <v>1</v>
      </c>
    </row>
    <row r="396" spans="1:22" x14ac:dyDescent="0.25">
      <c r="A396" t="str">
        <f>"392"</f>
        <v>392</v>
      </c>
      <c r="B396" t="str">
        <f t="shared" si="22"/>
        <v>102</v>
      </c>
      <c r="C396" t="str">
        <f t="shared" si="21"/>
        <v>16</v>
      </c>
      <c r="D396" t="str">
        <f>"5"</f>
        <v>5</v>
      </c>
      <c r="E396" t="str">
        <f>"102-16-5"</f>
        <v>102-16-5</v>
      </c>
      <c r="F396" t="s">
        <v>27</v>
      </c>
      <c r="G396" t="s">
        <v>28</v>
      </c>
      <c r="H396">
        <v>1</v>
      </c>
      <c r="Q396">
        <v>1</v>
      </c>
      <c r="R396">
        <v>0</v>
      </c>
      <c r="S396">
        <v>1</v>
      </c>
      <c r="T396">
        <v>0</v>
      </c>
      <c r="U396">
        <v>0</v>
      </c>
      <c r="V396">
        <v>1</v>
      </c>
    </row>
    <row r="397" spans="1:22" x14ac:dyDescent="0.25">
      <c r="A397" t="str">
        <f>"393"</f>
        <v>393</v>
      </c>
      <c r="B397" t="str">
        <f t="shared" si="22"/>
        <v>102</v>
      </c>
      <c r="C397" t="str">
        <f t="shared" si="21"/>
        <v>16</v>
      </c>
      <c r="D397" t="str">
        <f>"17"</f>
        <v>17</v>
      </c>
      <c r="E397" t="str">
        <f>"102-16-17"</f>
        <v>102-16-17</v>
      </c>
      <c r="F397" t="s">
        <v>27</v>
      </c>
      <c r="G397" t="s">
        <v>28</v>
      </c>
      <c r="H397">
        <v>1</v>
      </c>
      <c r="Q397">
        <v>0</v>
      </c>
      <c r="R397">
        <v>1</v>
      </c>
      <c r="S397">
        <v>0</v>
      </c>
      <c r="T397">
        <v>1</v>
      </c>
      <c r="U397">
        <v>0</v>
      </c>
      <c r="V397">
        <v>1</v>
      </c>
    </row>
    <row r="398" spans="1:22" x14ac:dyDescent="0.25">
      <c r="A398" t="str">
        <f>"394"</f>
        <v>394</v>
      </c>
      <c r="B398" t="str">
        <f t="shared" si="22"/>
        <v>102</v>
      </c>
      <c r="C398" t="str">
        <f t="shared" si="21"/>
        <v>16</v>
      </c>
      <c r="D398" t="str">
        <f>"10"</f>
        <v>10</v>
      </c>
      <c r="E398" t="str">
        <f>"102-16-10"</f>
        <v>102-16-10</v>
      </c>
      <c r="F398" t="s">
        <v>27</v>
      </c>
      <c r="G398" t="s">
        <v>28</v>
      </c>
      <c r="H398">
        <v>1</v>
      </c>
      <c r="Q398">
        <v>0</v>
      </c>
      <c r="R398">
        <v>1</v>
      </c>
      <c r="S398">
        <v>0</v>
      </c>
      <c r="T398">
        <v>1</v>
      </c>
      <c r="U398">
        <v>0</v>
      </c>
      <c r="V398">
        <v>1</v>
      </c>
    </row>
    <row r="399" spans="1:22" x14ac:dyDescent="0.25">
      <c r="A399" t="str">
        <f>"395"</f>
        <v>395</v>
      </c>
      <c r="B399" t="str">
        <f t="shared" si="22"/>
        <v>102</v>
      </c>
      <c r="C399" t="str">
        <f t="shared" si="21"/>
        <v>16</v>
      </c>
      <c r="D399" t="str">
        <f>"18"</f>
        <v>18</v>
      </c>
      <c r="E399" t="str">
        <f>"102-16-18"</f>
        <v>102-16-18</v>
      </c>
      <c r="F399" t="s">
        <v>27</v>
      </c>
      <c r="G399" t="s">
        <v>28</v>
      </c>
      <c r="H399">
        <v>1</v>
      </c>
      <c r="Q399">
        <v>1</v>
      </c>
      <c r="R399">
        <v>0</v>
      </c>
      <c r="S399">
        <v>1</v>
      </c>
      <c r="T399">
        <v>0</v>
      </c>
      <c r="U399">
        <v>0</v>
      </c>
      <c r="V399">
        <v>1</v>
      </c>
    </row>
    <row r="400" spans="1:22" x14ac:dyDescent="0.25">
      <c r="A400" t="str">
        <f>"396"</f>
        <v>396</v>
      </c>
      <c r="B400" t="str">
        <f t="shared" si="22"/>
        <v>102</v>
      </c>
      <c r="C400" t="str">
        <f t="shared" si="21"/>
        <v>16</v>
      </c>
      <c r="D400" t="str">
        <f>"9"</f>
        <v>9</v>
      </c>
      <c r="E400" t="str">
        <f>"102-16-9"</f>
        <v>102-16-9</v>
      </c>
      <c r="F400" t="s">
        <v>27</v>
      </c>
      <c r="G400" t="s">
        <v>28</v>
      </c>
      <c r="H400">
        <v>1</v>
      </c>
      <c r="Q400">
        <v>1</v>
      </c>
      <c r="R400">
        <v>0</v>
      </c>
      <c r="S400">
        <v>1</v>
      </c>
      <c r="T400">
        <v>0</v>
      </c>
      <c r="U400">
        <v>1</v>
      </c>
      <c r="V400">
        <v>0</v>
      </c>
    </row>
    <row r="401" spans="1:22" x14ac:dyDescent="0.25">
      <c r="A401" t="str">
        <f>"397"</f>
        <v>397</v>
      </c>
      <c r="B401" t="str">
        <f t="shared" si="22"/>
        <v>102</v>
      </c>
      <c r="C401" t="str">
        <f t="shared" si="21"/>
        <v>16</v>
      </c>
      <c r="D401" t="str">
        <f>"19"</f>
        <v>19</v>
      </c>
      <c r="E401" t="str">
        <f>"102-16-19"</f>
        <v>102-16-19</v>
      </c>
      <c r="F401" t="s">
        <v>27</v>
      </c>
      <c r="G401" t="s">
        <v>28</v>
      </c>
      <c r="H401">
        <v>1</v>
      </c>
      <c r="Q401">
        <v>1</v>
      </c>
      <c r="R401">
        <v>0</v>
      </c>
      <c r="S401">
        <v>0</v>
      </c>
      <c r="T401">
        <v>1</v>
      </c>
      <c r="U401">
        <v>1</v>
      </c>
      <c r="V401">
        <v>0</v>
      </c>
    </row>
    <row r="402" spans="1:22" x14ac:dyDescent="0.25">
      <c r="A402" t="str">
        <f>"398"</f>
        <v>398</v>
      </c>
      <c r="B402" t="str">
        <f t="shared" si="22"/>
        <v>102</v>
      </c>
      <c r="C402" t="str">
        <f t="shared" si="21"/>
        <v>16</v>
      </c>
      <c r="D402" t="str">
        <f>"4"</f>
        <v>4</v>
      </c>
      <c r="E402" t="str">
        <f>"102-16-4"</f>
        <v>102-16-4</v>
      </c>
      <c r="F402" t="s">
        <v>27</v>
      </c>
      <c r="G402" t="s">
        <v>28</v>
      </c>
      <c r="H402">
        <v>1</v>
      </c>
      <c r="Q402">
        <v>1</v>
      </c>
      <c r="R402">
        <v>0</v>
      </c>
      <c r="S402">
        <v>1</v>
      </c>
      <c r="T402">
        <v>0</v>
      </c>
      <c r="U402">
        <v>1</v>
      </c>
      <c r="V402">
        <v>0</v>
      </c>
    </row>
    <row r="403" spans="1:22" x14ac:dyDescent="0.25">
      <c r="A403" t="str">
        <f>"399"</f>
        <v>399</v>
      </c>
      <c r="B403" t="str">
        <f t="shared" si="22"/>
        <v>102</v>
      </c>
      <c r="C403" t="str">
        <f t="shared" si="21"/>
        <v>16</v>
      </c>
      <c r="D403" t="str">
        <f>"20"</f>
        <v>20</v>
      </c>
      <c r="E403" t="str">
        <f>"102-16-20"</f>
        <v>102-16-20</v>
      </c>
      <c r="F403" t="s">
        <v>27</v>
      </c>
      <c r="G403" t="s">
        <v>28</v>
      </c>
      <c r="H403">
        <v>1</v>
      </c>
      <c r="Q403">
        <v>1</v>
      </c>
      <c r="R403">
        <v>0</v>
      </c>
      <c r="S403">
        <v>1</v>
      </c>
      <c r="T403">
        <v>0</v>
      </c>
      <c r="U403">
        <v>0</v>
      </c>
      <c r="V403">
        <v>1</v>
      </c>
    </row>
    <row r="404" spans="1:22" x14ac:dyDescent="0.25">
      <c r="A404" t="str">
        <f>"400"</f>
        <v>400</v>
      </c>
      <c r="B404" t="str">
        <f t="shared" si="22"/>
        <v>102</v>
      </c>
      <c r="C404" t="str">
        <f t="shared" si="21"/>
        <v>16</v>
      </c>
      <c r="D404" t="str">
        <f>"3"</f>
        <v>3</v>
      </c>
      <c r="E404" t="str">
        <f>"102-16-3"</f>
        <v>102-16-3</v>
      </c>
      <c r="F404" t="s">
        <v>27</v>
      </c>
      <c r="G404" t="s">
        <v>28</v>
      </c>
      <c r="H404">
        <v>1</v>
      </c>
      <c r="Q404">
        <v>0</v>
      </c>
      <c r="R404">
        <v>1</v>
      </c>
      <c r="S404">
        <v>0</v>
      </c>
      <c r="T404">
        <v>1</v>
      </c>
      <c r="U404">
        <v>0</v>
      </c>
      <c r="V404">
        <v>1</v>
      </c>
    </row>
    <row r="405" spans="1:22" x14ac:dyDescent="0.25">
      <c r="A405" t="str">
        <f>"401"</f>
        <v>401</v>
      </c>
      <c r="B405" t="str">
        <f t="shared" si="22"/>
        <v>102</v>
      </c>
      <c r="C405" t="str">
        <f t="shared" ref="C405:C429" si="23">"17"</f>
        <v>17</v>
      </c>
      <c r="D405" t="str">
        <f>"23"</f>
        <v>23</v>
      </c>
      <c r="E405" t="str">
        <f>"102-17-23"</f>
        <v>102-17-23</v>
      </c>
      <c r="F405" t="s">
        <v>27</v>
      </c>
      <c r="G405" t="s">
        <v>28</v>
      </c>
      <c r="H405">
        <v>1</v>
      </c>
      <c r="Q405">
        <v>1</v>
      </c>
      <c r="R405">
        <v>0</v>
      </c>
      <c r="S405">
        <v>1</v>
      </c>
      <c r="T405">
        <v>0</v>
      </c>
      <c r="U405">
        <v>1</v>
      </c>
      <c r="V405">
        <v>0</v>
      </c>
    </row>
    <row r="406" spans="1:22" x14ac:dyDescent="0.25">
      <c r="A406" t="str">
        <f>"402"</f>
        <v>402</v>
      </c>
      <c r="B406" t="str">
        <f t="shared" si="22"/>
        <v>102</v>
      </c>
      <c r="C406" t="str">
        <f t="shared" si="23"/>
        <v>17</v>
      </c>
      <c r="D406" t="str">
        <f>"11"</f>
        <v>11</v>
      </c>
      <c r="E406" t="str">
        <f>"102-17-11"</f>
        <v>102-17-11</v>
      </c>
      <c r="F406" t="s">
        <v>27</v>
      </c>
      <c r="G406" t="s">
        <v>28</v>
      </c>
      <c r="H406">
        <v>1</v>
      </c>
      <c r="Q406">
        <v>0</v>
      </c>
      <c r="R406">
        <v>1</v>
      </c>
      <c r="S406">
        <v>0</v>
      </c>
      <c r="T406">
        <v>1</v>
      </c>
      <c r="U406">
        <v>1</v>
      </c>
      <c r="V406">
        <v>0</v>
      </c>
    </row>
    <row r="407" spans="1:22" x14ac:dyDescent="0.25">
      <c r="A407" t="str">
        <f>"403"</f>
        <v>403</v>
      </c>
      <c r="B407" t="str">
        <f t="shared" si="22"/>
        <v>102</v>
      </c>
      <c r="C407" t="str">
        <f t="shared" si="23"/>
        <v>17</v>
      </c>
      <c r="D407" t="str">
        <f>"5"</f>
        <v>5</v>
      </c>
      <c r="E407" t="str">
        <f>"102-17-5"</f>
        <v>102-17-5</v>
      </c>
      <c r="F407" t="s">
        <v>27</v>
      </c>
      <c r="G407" t="s">
        <v>28</v>
      </c>
      <c r="H407">
        <v>1</v>
      </c>
      <c r="Q407">
        <v>1</v>
      </c>
      <c r="R407">
        <v>0</v>
      </c>
      <c r="S407">
        <v>1</v>
      </c>
      <c r="T407">
        <v>0</v>
      </c>
      <c r="U407">
        <v>1</v>
      </c>
      <c r="V407">
        <v>0</v>
      </c>
    </row>
    <row r="408" spans="1:22" x14ac:dyDescent="0.25">
      <c r="A408" t="str">
        <f>"404"</f>
        <v>404</v>
      </c>
      <c r="B408" t="str">
        <f t="shared" si="22"/>
        <v>102</v>
      </c>
      <c r="C408" t="str">
        <f t="shared" si="23"/>
        <v>17</v>
      </c>
      <c r="D408" t="str">
        <f>"24"</f>
        <v>24</v>
      </c>
      <c r="E408" t="str">
        <f>"102-17-24"</f>
        <v>102-17-24</v>
      </c>
      <c r="F408" t="s">
        <v>27</v>
      </c>
      <c r="G408" t="s">
        <v>28</v>
      </c>
      <c r="H408">
        <v>1</v>
      </c>
      <c r="Q408">
        <v>1</v>
      </c>
      <c r="R408">
        <v>0</v>
      </c>
      <c r="S408">
        <v>1</v>
      </c>
      <c r="T408">
        <v>0</v>
      </c>
      <c r="U408">
        <v>0</v>
      </c>
      <c r="V408">
        <v>0</v>
      </c>
    </row>
    <row r="409" spans="1:22" x14ac:dyDescent="0.25">
      <c r="A409" t="str">
        <f>"405"</f>
        <v>405</v>
      </c>
      <c r="B409" t="str">
        <f t="shared" si="22"/>
        <v>102</v>
      </c>
      <c r="C409" t="str">
        <f t="shared" si="23"/>
        <v>17</v>
      </c>
      <c r="D409" t="str">
        <f>"12"</f>
        <v>12</v>
      </c>
      <c r="E409" t="str">
        <f>"102-17-12"</f>
        <v>102-17-12</v>
      </c>
      <c r="F409" t="s">
        <v>27</v>
      </c>
      <c r="G409" t="s">
        <v>28</v>
      </c>
      <c r="H409">
        <v>1</v>
      </c>
      <c r="Q409">
        <v>0</v>
      </c>
      <c r="R409">
        <v>1</v>
      </c>
      <c r="S409">
        <v>0</v>
      </c>
      <c r="T409">
        <v>1</v>
      </c>
      <c r="U409">
        <v>0</v>
      </c>
      <c r="V409">
        <v>1</v>
      </c>
    </row>
    <row r="410" spans="1:22" x14ac:dyDescent="0.25">
      <c r="A410" t="str">
        <f>"406"</f>
        <v>406</v>
      </c>
      <c r="B410" t="str">
        <f t="shared" si="22"/>
        <v>102</v>
      </c>
      <c r="C410" t="str">
        <f t="shared" si="23"/>
        <v>17</v>
      </c>
      <c r="D410" t="str">
        <f>"2"</f>
        <v>2</v>
      </c>
      <c r="E410" t="str">
        <f>"102-17-2"</f>
        <v>102-17-2</v>
      </c>
      <c r="F410" t="s">
        <v>27</v>
      </c>
      <c r="G410" t="s">
        <v>28</v>
      </c>
      <c r="H410">
        <v>1</v>
      </c>
      <c r="Q410">
        <v>0</v>
      </c>
      <c r="R410">
        <v>1</v>
      </c>
      <c r="S410">
        <v>0</v>
      </c>
      <c r="T410">
        <v>1</v>
      </c>
      <c r="U410">
        <v>1</v>
      </c>
      <c r="V410">
        <v>0</v>
      </c>
    </row>
    <row r="411" spans="1:22" x14ac:dyDescent="0.25">
      <c r="A411" t="str">
        <f>"407"</f>
        <v>407</v>
      </c>
      <c r="B411" t="str">
        <f t="shared" si="22"/>
        <v>102</v>
      </c>
      <c r="C411" t="str">
        <f t="shared" si="23"/>
        <v>17</v>
      </c>
      <c r="D411" t="str">
        <f>"13"</f>
        <v>13</v>
      </c>
      <c r="E411" t="str">
        <f>"102-17-13"</f>
        <v>102-17-13</v>
      </c>
      <c r="F411" t="s">
        <v>27</v>
      </c>
      <c r="G411" t="s">
        <v>28</v>
      </c>
      <c r="H411">
        <v>1</v>
      </c>
      <c r="Q411">
        <v>0</v>
      </c>
      <c r="R411">
        <v>1</v>
      </c>
      <c r="S411">
        <v>0</v>
      </c>
      <c r="T411">
        <v>1</v>
      </c>
      <c r="U411">
        <v>0</v>
      </c>
      <c r="V411">
        <v>1</v>
      </c>
    </row>
    <row r="412" spans="1:22" x14ac:dyDescent="0.25">
      <c r="A412" t="str">
        <f>"408"</f>
        <v>408</v>
      </c>
      <c r="B412" t="str">
        <f t="shared" si="22"/>
        <v>102</v>
      </c>
      <c r="C412" t="str">
        <f t="shared" si="23"/>
        <v>17</v>
      </c>
      <c r="D412" t="str">
        <f>"4"</f>
        <v>4</v>
      </c>
      <c r="E412" t="str">
        <f>"102-17-4"</f>
        <v>102-17-4</v>
      </c>
      <c r="F412" t="s">
        <v>27</v>
      </c>
      <c r="G412" t="s">
        <v>28</v>
      </c>
      <c r="H412">
        <v>1</v>
      </c>
      <c r="Q412">
        <v>1</v>
      </c>
      <c r="R412">
        <v>0</v>
      </c>
      <c r="S412">
        <v>1</v>
      </c>
      <c r="T412">
        <v>0</v>
      </c>
      <c r="U412">
        <v>0</v>
      </c>
      <c r="V412">
        <v>1</v>
      </c>
    </row>
    <row r="413" spans="1:22" x14ac:dyDescent="0.25">
      <c r="A413" t="str">
        <f>"409"</f>
        <v>409</v>
      </c>
      <c r="B413" t="str">
        <f t="shared" si="22"/>
        <v>102</v>
      </c>
      <c r="C413" t="str">
        <f t="shared" si="23"/>
        <v>17</v>
      </c>
      <c r="D413" t="str">
        <f>"25"</f>
        <v>25</v>
      </c>
      <c r="E413" t="str">
        <f>"102-17-25"</f>
        <v>102-17-25</v>
      </c>
      <c r="F413" t="s">
        <v>27</v>
      </c>
      <c r="G413" t="s">
        <v>28</v>
      </c>
      <c r="H413">
        <v>1</v>
      </c>
      <c r="Q413">
        <v>0</v>
      </c>
      <c r="R413">
        <v>1</v>
      </c>
      <c r="S413">
        <v>0</v>
      </c>
      <c r="T413">
        <v>1</v>
      </c>
      <c r="U413">
        <v>0</v>
      </c>
      <c r="V413">
        <v>1</v>
      </c>
    </row>
    <row r="414" spans="1:22" x14ac:dyDescent="0.25">
      <c r="A414" t="str">
        <f>"410"</f>
        <v>410</v>
      </c>
      <c r="B414" t="str">
        <f t="shared" si="22"/>
        <v>102</v>
      </c>
      <c r="C414" t="str">
        <f t="shared" si="23"/>
        <v>17</v>
      </c>
      <c r="D414" t="str">
        <f>"14"</f>
        <v>14</v>
      </c>
      <c r="E414" t="str">
        <f>"102-17-14"</f>
        <v>102-17-14</v>
      </c>
      <c r="F414" t="s">
        <v>27</v>
      </c>
      <c r="G414" t="s">
        <v>28</v>
      </c>
      <c r="H414">
        <v>1</v>
      </c>
      <c r="Q414">
        <v>1</v>
      </c>
      <c r="R414">
        <v>0</v>
      </c>
      <c r="S414">
        <v>1</v>
      </c>
      <c r="T414">
        <v>0</v>
      </c>
      <c r="U414">
        <v>1</v>
      </c>
      <c r="V414">
        <v>0</v>
      </c>
    </row>
    <row r="415" spans="1:22" x14ac:dyDescent="0.25">
      <c r="A415" t="str">
        <f>"411"</f>
        <v>411</v>
      </c>
      <c r="B415" t="str">
        <f t="shared" si="22"/>
        <v>102</v>
      </c>
      <c r="C415" t="str">
        <f t="shared" si="23"/>
        <v>17</v>
      </c>
      <c r="D415" t="str">
        <f>"7"</f>
        <v>7</v>
      </c>
      <c r="E415" t="str">
        <f>"102-17-7"</f>
        <v>102-17-7</v>
      </c>
      <c r="F415" t="s">
        <v>27</v>
      </c>
      <c r="G415" t="s">
        <v>28</v>
      </c>
      <c r="H415">
        <v>1</v>
      </c>
      <c r="Q415">
        <v>0</v>
      </c>
      <c r="R415">
        <v>1</v>
      </c>
      <c r="S415">
        <v>0</v>
      </c>
      <c r="T415">
        <v>1</v>
      </c>
      <c r="U415">
        <v>0</v>
      </c>
      <c r="V415">
        <v>1</v>
      </c>
    </row>
    <row r="416" spans="1:22" x14ac:dyDescent="0.25">
      <c r="A416" t="str">
        <f>"412"</f>
        <v>412</v>
      </c>
      <c r="B416" t="str">
        <f t="shared" si="22"/>
        <v>102</v>
      </c>
      <c r="C416" t="str">
        <f t="shared" si="23"/>
        <v>17</v>
      </c>
      <c r="D416" t="str">
        <f>"15"</f>
        <v>15</v>
      </c>
      <c r="E416" t="str">
        <f>"102-17-15"</f>
        <v>102-17-15</v>
      </c>
      <c r="F416" t="s">
        <v>27</v>
      </c>
      <c r="G416" t="s">
        <v>28</v>
      </c>
      <c r="H416">
        <v>1</v>
      </c>
      <c r="Q416">
        <v>0</v>
      </c>
      <c r="R416">
        <v>1</v>
      </c>
      <c r="S416">
        <v>0</v>
      </c>
      <c r="T416">
        <v>1</v>
      </c>
      <c r="U416">
        <v>0</v>
      </c>
      <c r="V416">
        <v>1</v>
      </c>
    </row>
    <row r="417" spans="1:22" x14ac:dyDescent="0.25">
      <c r="A417" t="str">
        <f>"413"</f>
        <v>413</v>
      </c>
      <c r="B417" t="str">
        <f t="shared" si="22"/>
        <v>102</v>
      </c>
      <c r="C417" t="str">
        <f t="shared" si="23"/>
        <v>17</v>
      </c>
      <c r="D417" t="str">
        <f>"8"</f>
        <v>8</v>
      </c>
      <c r="E417" t="str">
        <f>"102-17-8"</f>
        <v>102-17-8</v>
      </c>
      <c r="F417" t="s">
        <v>27</v>
      </c>
      <c r="G417" t="s">
        <v>28</v>
      </c>
      <c r="H417">
        <v>1</v>
      </c>
      <c r="Q417">
        <v>1</v>
      </c>
      <c r="R417">
        <v>0</v>
      </c>
      <c r="S417">
        <v>1</v>
      </c>
      <c r="T417">
        <v>0</v>
      </c>
      <c r="U417">
        <v>1</v>
      </c>
      <c r="V417">
        <v>0</v>
      </c>
    </row>
    <row r="418" spans="1:22" x14ac:dyDescent="0.25">
      <c r="A418" t="str">
        <f>"414"</f>
        <v>414</v>
      </c>
      <c r="B418" t="str">
        <f t="shared" si="22"/>
        <v>102</v>
      </c>
      <c r="C418" t="str">
        <f t="shared" si="23"/>
        <v>17</v>
      </c>
      <c r="D418" t="str">
        <f>"21"</f>
        <v>21</v>
      </c>
      <c r="E418" t="str">
        <f>"102-17-21"</f>
        <v>102-17-21</v>
      </c>
      <c r="F418" t="s">
        <v>27</v>
      </c>
      <c r="G418" t="s">
        <v>28</v>
      </c>
      <c r="H418">
        <v>1</v>
      </c>
      <c r="Q418">
        <v>1</v>
      </c>
      <c r="R418">
        <v>0</v>
      </c>
      <c r="S418">
        <v>0</v>
      </c>
      <c r="T418">
        <v>1</v>
      </c>
      <c r="U418">
        <v>0</v>
      </c>
      <c r="V418">
        <v>1</v>
      </c>
    </row>
    <row r="419" spans="1:22" x14ac:dyDescent="0.25">
      <c r="A419" t="str">
        <f>"415"</f>
        <v>415</v>
      </c>
      <c r="B419" t="str">
        <f t="shared" si="22"/>
        <v>102</v>
      </c>
      <c r="C419" t="str">
        <f t="shared" si="23"/>
        <v>17</v>
      </c>
      <c r="D419" t="str">
        <f>"16"</f>
        <v>16</v>
      </c>
      <c r="E419" t="str">
        <f>"102-17-16"</f>
        <v>102-17-16</v>
      </c>
      <c r="F419" t="s">
        <v>27</v>
      </c>
      <c r="G419" t="s">
        <v>28</v>
      </c>
      <c r="H419">
        <v>1</v>
      </c>
      <c r="Q419">
        <v>0</v>
      </c>
      <c r="R419">
        <v>1</v>
      </c>
      <c r="S419">
        <v>0</v>
      </c>
      <c r="T419">
        <v>1</v>
      </c>
      <c r="U419">
        <v>0</v>
      </c>
      <c r="V419">
        <v>1</v>
      </c>
    </row>
    <row r="420" spans="1:22" x14ac:dyDescent="0.25">
      <c r="A420" t="str">
        <f>"416"</f>
        <v>416</v>
      </c>
      <c r="B420" t="str">
        <f t="shared" si="22"/>
        <v>102</v>
      </c>
      <c r="C420" t="str">
        <f t="shared" si="23"/>
        <v>17</v>
      </c>
      <c r="D420" t="str">
        <f>"9"</f>
        <v>9</v>
      </c>
      <c r="E420" t="str">
        <f>"102-17-9"</f>
        <v>102-17-9</v>
      </c>
      <c r="F420" t="s">
        <v>27</v>
      </c>
      <c r="G420" t="s">
        <v>28</v>
      </c>
      <c r="H420">
        <v>1</v>
      </c>
      <c r="Q420">
        <v>0</v>
      </c>
      <c r="R420">
        <v>1</v>
      </c>
      <c r="S420">
        <v>0</v>
      </c>
      <c r="T420">
        <v>1</v>
      </c>
      <c r="U420">
        <v>0</v>
      </c>
      <c r="V420">
        <v>1</v>
      </c>
    </row>
    <row r="421" spans="1:22" x14ac:dyDescent="0.25">
      <c r="A421" t="str">
        <f>"417"</f>
        <v>417</v>
      </c>
      <c r="B421" t="str">
        <f t="shared" si="22"/>
        <v>102</v>
      </c>
      <c r="C421" t="str">
        <f t="shared" si="23"/>
        <v>17</v>
      </c>
      <c r="D421" t="str">
        <f>"17"</f>
        <v>17</v>
      </c>
      <c r="E421" t="str">
        <f>"102-17-17"</f>
        <v>102-17-17</v>
      </c>
      <c r="F421" t="s">
        <v>27</v>
      </c>
      <c r="G421" t="s">
        <v>28</v>
      </c>
      <c r="H421">
        <v>1</v>
      </c>
      <c r="Q421">
        <v>0</v>
      </c>
      <c r="R421">
        <v>1</v>
      </c>
      <c r="S421">
        <v>0</v>
      </c>
      <c r="T421">
        <v>1</v>
      </c>
      <c r="U421">
        <v>1</v>
      </c>
      <c r="V421">
        <v>0</v>
      </c>
    </row>
    <row r="422" spans="1:22" x14ac:dyDescent="0.25">
      <c r="A422" t="str">
        <f>"418"</f>
        <v>418</v>
      </c>
      <c r="B422" t="str">
        <f t="shared" si="22"/>
        <v>102</v>
      </c>
      <c r="C422" t="str">
        <f t="shared" si="23"/>
        <v>17</v>
      </c>
      <c r="D422" t="str">
        <f>"6"</f>
        <v>6</v>
      </c>
      <c r="E422" t="str">
        <f>"102-17-6"</f>
        <v>102-17-6</v>
      </c>
      <c r="F422" t="s">
        <v>27</v>
      </c>
      <c r="G422" t="s">
        <v>28</v>
      </c>
      <c r="H422">
        <v>1</v>
      </c>
      <c r="Q422">
        <v>0</v>
      </c>
      <c r="R422">
        <v>1</v>
      </c>
      <c r="S422">
        <v>0</v>
      </c>
      <c r="T422">
        <v>1</v>
      </c>
      <c r="U422">
        <v>0</v>
      </c>
      <c r="V422">
        <v>1</v>
      </c>
    </row>
    <row r="423" spans="1:22" x14ac:dyDescent="0.25">
      <c r="A423" t="str">
        <f>"419"</f>
        <v>419</v>
      </c>
      <c r="B423" t="str">
        <f t="shared" si="22"/>
        <v>102</v>
      </c>
      <c r="C423" t="str">
        <f t="shared" si="23"/>
        <v>17</v>
      </c>
      <c r="D423" t="str">
        <f>"22"</f>
        <v>22</v>
      </c>
      <c r="E423" t="str">
        <f>"102-17-22"</f>
        <v>102-17-22</v>
      </c>
      <c r="F423" t="s">
        <v>27</v>
      </c>
      <c r="G423" t="s">
        <v>28</v>
      </c>
      <c r="H423">
        <v>1</v>
      </c>
      <c r="Q423">
        <v>0</v>
      </c>
      <c r="R423">
        <v>1</v>
      </c>
      <c r="S423">
        <v>0</v>
      </c>
      <c r="T423">
        <v>1</v>
      </c>
      <c r="U423">
        <v>1</v>
      </c>
      <c r="V423">
        <v>0</v>
      </c>
    </row>
    <row r="424" spans="1:22" x14ac:dyDescent="0.25">
      <c r="A424" t="str">
        <f>"420"</f>
        <v>420</v>
      </c>
      <c r="B424" t="str">
        <f t="shared" si="22"/>
        <v>102</v>
      </c>
      <c r="C424" t="str">
        <f t="shared" si="23"/>
        <v>17</v>
      </c>
      <c r="D424" t="str">
        <f>"18"</f>
        <v>18</v>
      </c>
      <c r="E424" t="str">
        <f>"102-17-18"</f>
        <v>102-17-18</v>
      </c>
      <c r="F424" t="s">
        <v>27</v>
      </c>
      <c r="G424" t="s">
        <v>28</v>
      </c>
      <c r="H424">
        <v>1</v>
      </c>
      <c r="Q424">
        <v>1</v>
      </c>
      <c r="R424">
        <v>0</v>
      </c>
      <c r="S424">
        <v>1</v>
      </c>
      <c r="T424">
        <v>0</v>
      </c>
      <c r="U424">
        <v>1</v>
      </c>
      <c r="V424">
        <v>0</v>
      </c>
    </row>
    <row r="425" spans="1:22" x14ac:dyDescent="0.25">
      <c r="A425" t="str">
        <f>"421"</f>
        <v>421</v>
      </c>
      <c r="B425" t="str">
        <f t="shared" si="22"/>
        <v>102</v>
      </c>
      <c r="C425" t="str">
        <f t="shared" si="23"/>
        <v>17</v>
      </c>
      <c r="D425" t="str">
        <f>"10"</f>
        <v>10</v>
      </c>
      <c r="E425" t="str">
        <f>"102-17-10"</f>
        <v>102-17-10</v>
      </c>
      <c r="F425" t="s">
        <v>27</v>
      </c>
      <c r="G425" t="s">
        <v>28</v>
      </c>
      <c r="H425">
        <v>1</v>
      </c>
      <c r="Q425">
        <v>1</v>
      </c>
      <c r="R425">
        <v>0</v>
      </c>
      <c r="S425">
        <v>1</v>
      </c>
      <c r="T425">
        <v>0</v>
      </c>
      <c r="U425">
        <v>1</v>
      </c>
      <c r="V425">
        <v>0</v>
      </c>
    </row>
    <row r="426" spans="1:22" x14ac:dyDescent="0.25">
      <c r="A426" t="str">
        <f>"422"</f>
        <v>422</v>
      </c>
      <c r="B426" t="str">
        <f t="shared" si="22"/>
        <v>102</v>
      </c>
      <c r="C426" t="str">
        <f t="shared" si="23"/>
        <v>17</v>
      </c>
      <c r="D426" t="str">
        <f>"19"</f>
        <v>19</v>
      </c>
      <c r="E426" t="str">
        <f>"102-17-19"</f>
        <v>102-17-19</v>
      </c>
      <c r="F426" t="s">
        <v>27</v>
      </c>
      <c r="G426" t="s">
        <v>28</v>
      </c>
      <c r="H426">
        <v>1</v>
      </c>
      <c r="Q426">
        <v>1</v>
      </c>
      <c r="R426">
        <v>0</v>
      </c>
      <c r="S426">
        <v>1</v>
      </c>
      <c r="T426">
        <v>0</v>
      </c>
      <c r="U426">
        <v>0</v>
      </c>
      <c r="V426">
        <v>0</v>
      </c>
    </row>
    <row r="427" spans="1:22" x14ac:dyDescent="0.25">
      <c r="A427" t="str">
        <f>"423"</f>
        <v>423</v>
      </c>
      <c r="B427" t="str">
        <f t="shared" si="22"/>
        <v>102</v>
      </c>
      <c r="C427" t="str">
        <f t="shared" si="23"/>
        <v>17</v>
      </c>
      <c r="D427" t="str">
        <f>"3"</f>
        <v>3</v>
      </c>
      <c r="E427" t="str">
        <f>"102-17-3"</f>
        <v>102-17-3</v>
      </c>
      <c r="F427" t="s">
        <v>27</v>
      </c>
      <c r="G427" t="s">
        <v>28</v>
      </c>
      <c r="H427">
        <v>1</v>
      </c>
      <c r="Q427">
        <v>0</v>
      </c>
      <c r="R427">
        <v>1</v>
      </c>
      <c r="S427">
        <v>0</v>
      </c>
      <c r="T427">
        <v>1</v>
      </c>
      <c r="U427">
        <v>0</v>
      </c>
      <c r="V427">
        <v>1</v>
      </c>
    </row>
    <row r="428" spans="1:22" x14ac:dyDescent="0.25">
      <c r="A428" t="str">
        <f>"424"</f>
        <v>424</v>
      </c>
      <c r="B428" t="str">
        <f t="shared" si="22"/>
        <v>102</v>
      </c>
      <c r="C428" t="str">
        <f t="shared" si="23"/>
        <v>17</v>
      </c>
      <c r="D428" t="str">
        <f>"20"</f>
        <v>20</v>
      </c>
      <c r="E428" t="str">
        <f>"102-17-20"</f>
        <v>102-17-20</v>
      </c>
      <c r="F428" t="s">
        <v>27</v>
      </c>
      <c r="G428" t="s">
        <v>28</v>
      </c>
      <c r="H428">
        <v>1</v>
      </c>
      <c r="Q428">
        <v>0</v>
      </c>
      <c r="R428">
        <v>1</v>
      </c>
      <c r="S428">
        <v>0</v>
      </c>
      <c r="T428">
        <v>1</v>
      </c>
      <c r="U428">
        <v>0</v>
      </c>
      <c r="V428">
        <v>1</v>
      </c>
    </row>
    <row r="429" spans="1:22" x14ac:dyDescent="0.25">
      <c r="A429" t="str">
        <f>"425"</f>
        <v>425</v>
      </c>
      <c r="B429" t="str">
        <f t="shared" si="22"/>
        <v>102</v>
      </c>
      <c r="C429" t="str">
        <f t="shared" si="23"/>
        <v>17</v>
      </c>
      <c r="D429" t="str">
        <f>"1"</f>
        <v>1</v>
      </c>
      <c r="E429" t="str">
        <f>"102-17-1"</f>
        <v>102-17-1</v>
      </c>
      <c r="F429" t="s">
        <v>27</v>
      </c>
      <c r="G429" t="s">
        <v>28</v>
      </c>
      <c r="H429">
        <v>1</v>
      </c>
      <c r="Q429">
        <v>0</v>
      </c>
      <c r="R429">
        <v>1</v>
      </c>
      <c r="S429">
        <v>0</v>
      </c>
      <c r="T429">
        <v>1</v>
      </c>
      <c r="U429">
        <v>0</v>
      </c>
      <c r="V429">
        <v>1</v>
      </c>
    </row>
    <row r="430" spans="1:22" x14ac:dyDescent="0.25">
      <c r="A430" t="str">
        <f>"426"</f>
        <v>426</v>
      </c>
      <c r="B430" t="str">
        <f t="shared" si="22"/>
        <v>102</v>
      </c>
      <c r="C430" t="str">
        <f t="shared" ref="C430:C454" si="24">"18"</f>
        <v>18</v>
      </c>
      <c r="D430" t="str">
        <f>"24"</f>
        <v>24</v>
      </c>
      <c r="E430" t="str">
        <f>"102-18-24"</f>
        <v>102-18-24</v>
      </c>
      <c r="F430" t="s">
        <v>27</v>
      </c>
      <c r="G430" t="s">
        <v>28</v>
      </c>
      <c r="H430">
        <v>1</v>
      </c>
      <c r="Q430">
        <v>0</v>
      </c>
      <c r="R430">
        <v>1</v>
      </c>
      <c r="S430">
        <v>0</v>
      </c>
      <c r="T430">
        <v>1</v>
      </c>
      <c r="U430">
        <v>0</v>
      </c>
      <c r="V430">
        <v>1</v>
      </c>
    </row>
    <row r="431" spans="1:22" x14ac:dyDescent="0.25">
      <c r="A431" t="str">
        <f>"427"</f>
        <v>427</v>
      </c>
      <c r="B431" t="str">
        <f t="shared" si="22"/>
        <v>102</v>
      </c>
      <c r="C431" t="str">
        <f t="shared" si="24"/>
        <v>18</v>
      </c>
      <c r="D431" t="str">
        <f>"23"</f>
        <v>23</v>
      </c>
      <c r="E431" t="str">
        <f>"102-18-23"</f>
        <v>102-18-23</v>
      </c>
      <c r="F431" t="s">
        <v>27</v>
      </c>
      <c r="G431" t="s">
        <v>28</v>
      </c>
      <c r="H431">
        <v>1</v>
      </c>
      <c r="Q431">
        <v>1</v>
      </c>
      <c r="R431">
        <v>0</v>
      </c>
      <c r="S431">
        <v>0</v>
      </c>
      <c r="T431">
        <v>1</v>
      </c>
      <c r="U431">
        <v>0</v>
      </c>
      <c r="V431">
        <v>1</v>
      </c>
    </row>
    <row r="432" spans="1:22" x14ac:dyDescent="0.25">
      <c r="A432" t="str">
        <f>"428"</f>
        <v>428</v>
      </c>
      <c r="B432" t="str">
        <f t="shared" si="22"/>
        <v>102</v>
      </c>
      <c r="C432" t="str">
        <f t="shared" si="24"/>
        <v>18</v>
      </c>
      <c r="D432" t="str">
        <f>"19"</f>
        <v>19</v>
      </c>
      <c r="E432" t="str">
        <f>"102-18-19"</f>
        <v>102-18-19</v>
      </c>
      <c r="F432" t="s">
        <v>27</v>
      </c>
      <c r="G432" t="s">
        <v>28</v>
      </c>
      <c r="H432">
        <v>1</v>
      </c>
      <c r="Q432">
        <v>1</v>
      </c>
      <c r="R432">
        <v>0</v>
      </c>
      <c r="S432">
        <v>0</v>
      </c>
      <c r="T432">
        <v>1</v>
      </c>
      <c r="U432">
        <v>1</v>
      </c>
      <c r="V432">
        <v>0</v>
      </c>
    </row>
    <row r="433" spans="1:22" x14ac:dyDescent="0.25">
      <c r="A433" t="str">
        <f>"429"</f>
        <v>429</v>
      </c>
      <c r="B433" t="str">
        <f t="shared" si="22"/>
        <v>102</v>
      </c>
      <c r="C433" t="str">
        <f t="shared" si="24"/>
        <v>18</v>
      </c>
      <c r="D433" t="str">
        <f>"11"</f>
        <v>11</v>
      </c>
      <c r="E433" t="str">
        <f>"102-18-11"</f>
        <v>102-18-11</v>
      </c>
      <c r="F433" t="s">
        <v>27</v>
      </c>
      <c r="G433" t="s">
        <v>28</v>
      </c>
      <c r="H433">
        <v>1</v>
      </c>
      <c r="Q433">
        <v>0</v>
      </c>
      <c r="R433">
        <v>1</v>
      </c>
      <c r="S433">
        <v>0</v>
      </c>
      <c r="T433">
        <v>1</v>
      </c>
      <c r="U433">
        <v>0</v>
      </c>
      <c r="V433">
        <v>1</v>
      </c>
    </row>
    <row r="434" spans="1:22" x14ac:dyDescent="0.25">
      <c r="A434" t="str">
        <f>"430"</f>
        <v>430</v>
      </c>
      <c r="B434" t="str">
        <f t="shared" si="22"/>
        <v>102</v>
      </c>
      <c r="C434" t="str">
        <f t="shared" si="24"/>
        <v>18</v>
      </c>
      <c r="D434" t="str">
        <f>"1"</f>
        <v>1</v>
      </c>
      <c r="E434" t="str">
        <f>"102-18-1"</f>
        <v>102-18-1</v>
      </c>
      <c r="F434" t="s">
        <v>27</v>
      </c>
      <c r="G434" t="s">
        <v>28</v>
      </c>
      <c r="H434">
        <v>1</v>
      </c>
      <c r="Q434">
        <v>1</v>
      </c>
      <c r="R434">
        <v>0</v>
      </c>
      <c r="S434">
        <v>0</v>
      </c>
      <c r="T434">
        <v>1</v>
      </c>
      <c r="U434">
        <v>0</v>
      </c>
      <c r="V434">
        <v>1</v>
      </c>
    </row>
    <row r="435" spans="1:22" x14ac:dyDescent="0.25">
      <c r="A435" t="str">
        <f>"431"</f>
        <v>431</v>
      </c>
      <c r="B435" t="str">
        <f t="shared" si="22"/>
        <v>102</v>
      </c>
      <c r="C435" t="str">
        <f t="shared" si="24"/>
        <v>18</v>
      </c>
      <c r="D435" t="str">
        <f>"25"</f>
        <v>25</v>
      </c>
      <c r="E435" t="str">
        <f>"102-18-25"</f>
        <v>102-18-25</v>
      </c>
      <c r="F435" t="s">
        <v>27</v>
      </c>
      <c r="G435" t="s">
        <v>28</v>
      </c>
      <c r="H435">
        <v>1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1</v>
      </c>
    </row>
    <row r="436" spans="1:22" x14ac:dyDescent="0.25">
      <c r="A436" t="str">
        <f>"432"</f>
        <v>432</v>
      </c>
      <c r="B436" t="str">
        <f t="shared" si="22"/>
        <v>102</v>
      </c>
      <c r="C436" t="str">
        <f t="shared" si="24"/>
        <v>18</v>
      </c>
      <c r="D436" t="str">
        <f>"12"</f>
        <v>12</v>
      </c>
      <c r="E436" t="str">
        <f>"102-18-12"</f>
        <v>102-18-12</v>
      </c>
      <c r="F436" t="s">
        <v>27</v>
      </c>
      <c r="G436" t="s">
        <v>28</v>
      </c>
      <c r="H436">
        <v>1</v>
      </c>
      <c r="Q436">
        <v>0</v>
      </c>
      <c r="R436">
        <v>1</v>
      </c>
      <c r="S436">
        <v>0</v>
      </c>
      <c r="T436">
        <v>1</v>
      </c>
      <c r="U436">
        <v>0</v>
      </c>
      <c r="V436">
        <v>1</v>
      </c>
    </row>
    <row r="437" spans="1:22" x14ac:dyDescent="0.25">
      <c r="A437" t="str">
        <f>"433"</f>
        <v>433</v>
      </c>
      <c r="B437" t="str">
        <f t="shared" si="22"/>
        <v>102</v>
      </c>
      <c r="C437" t="str">
        <f t="shared" si="24"/>
        <v>18</v>
      </c>
      <c r="D437" t="str">
        <f>"2"</f>
        <v>2</v>
      </c>
      <c r="E437" t="str">
        <f>"102-18-2"</f>
        <v>102-18-2</v>
      </c>
      <c r="F437" t="s">
        <v>27</v>
      </c>
      <c r="G437" t="s">
        <v>28</v>
      </c>
      <c r="H437">
        <v>1</v>
      </c>
      <c r="Q437">
        <v>0</v>
      </c>
      <c r="R437">
        <v>1</v>
      </c>
      <c r="S437">
        <v>0</v>
      </c>
      <c r="T437">
        <v>1</v>
      </c>
      <c r="U437">
        <v>1</v>
      </c>
      <c r="V437">
        <v>0</v>
      </c>
    </row>
    <row r="438" spans="1:22" x14ac:dyDescent="0.25">
      <c r="A438" t="str">
        <f>"434"</f>
        <v>434</v>
      </c>
      <c r="B438" t="str">
        <f t="shared" si="22"/>
        <v>102</v>
      </c>
      <c r="C438" t="str">
        <f t="shared" si="24"/>
        <v>18</v>
      </c>
      <c r="D438" t="str">
        <f>"13"</f>
        <v>13</v>
      </c>
      <c r="E438" t="str">
        <f>"102-18-13"</f>
        <v>102-18-13</v>
      </c>
      <c r="F438" t="s">
        <v>27</v>
      </c>
      <c r="G438" t="s">
        <v>28</v>
      </c>
      <c r="H438">
        <v>1</v>
      </c>
      <c r="Q438">
        <v>1</v>
      </c>
      <c r="R438">
        <v>0</v>
      </c>
      <c r="S438">
        <v>0</v>
      </c>
      <c r="T438">
        <v>0</v>
      </c>
      <c r="U438">
        <v>0</v>
      </c>
      <c r="V438">
        <v>0</v>
      </c>
    </row>
    <row r="439" spans="1:22" x14ac:dyDescent="0.25">
      <c r="A439" t="str">
        <f>"435"</f>
        <v>435</v>
      </c>
      <c r="B439" t="str">
        <f t="shared" si="22"/>
        <v>102</v>
      </c>
      <c r="C439" t="str">
        <f t="shared" si="24"/>
        <v>18</v>
      </c>
      <c r="D439" t="str">
        <f>"3"</f>
        <v>3</v>
      </c>
      <c r="E439" t="str">
        <f>"102-18-3"</f>
        <v>102-18-3</v>
      </c>
      <c r="F439" t="s">
        <v>27</v>
      </c>
      <c r="G439" t="s">
        <v>28</v>
      </c>
      <c r="H439">
        <v>1</v>
      </c>
      <c r="Q439">
        <v>0</v>
      </c>
      <c r="R439">
        <v>1</v>
      </c>
      <c r="S439">
        <v>0</v>
      </c>
      <c r="T439">
        <v>1</v>
      </c>
      <c r="U439">
        <v>1</v>
      </c>
      <c r="V439">
        <v>0</v>
      </c>
    </row>
    <row r="440" spans="1:22" x14ac:dyDescent="0.25">
      <c r="A440" t="str">
        <f>"436"</f>
        <v>436</v>
      </c>
      <c r="B440" t="str">
        <f t="shared" si="22"/>
        <v>102</v>
      </c>
      <c r="C440" t="str">
        <f t="shared" si="24"/>
        <v>18</v>
      </c>
      <c r="D440" t="str">
        <f>"14"</f>
        <v>14</v>
      </c>
      <c r="E440" t="str">
        <f>"102-18-14"</f>
        <v>102-18-14</v>
      </c>
      <c r="F440" t="s">
        <v>27</v>
      </c>
      <c r="G440" t="s">
        <v>28</v>
      </c>
      <c r="H440">
        <v>1</v>
      </c>
      <c r="Q440">
        <v>0</v>
      </c>
      <c r="R440">
        <v>1</v>
      </c>
      <c r="S440">
        <v>0</v>
      </c>
      <c r="T440">
        <v>1</v>
      </c>
      <c r="U440">
        <v>0</v>
      </c>
      <c r="V440">
        <v>1</v>
      </c>
    </row>
    <row r="441" spans="1:22" x14ac:dyDescent="0.25">
      <c r="A441" t="str">
        <f>"437"</f>
        <v>437</v>
      </c>
      <c r="B441" t="str">
        <f t="shared" si="22"/>
        <v>102</v>
      </c>
      <c r="C441" t="str">
        <f t="shared" si="24"/>
        <v>18</v>
      </c>
      <c r="D441" t="str">
        <f>"7"</f>
        <v>7</v>
      </c>
      <c r="E441" t="str">
        <f>"102-18-7"</f>
        <v>102-18-7</v>
      </c>
      <c r="F441" t="s">
        <v>27</v>
      </c>
      <c r="G441" t="s">
        <v>28</v>
      </c>
      <c r="H441">
        <v>1</v>
      </c>
      <c r="Q441">
        <v>1</v>
      </c>
      <c r="R441">
        <v>0</v>
      </c>
      <c r="S441">
        <v>0</v>
      </c>
      <c r="T441">
        <v>1</v>
      </c>
      <c r="U441">
        <v>0</v>
      </c>
      <c r="V441">
        <v>1</v>
      </c>
    </row>
    <row r="442" spans="1:22" x14ac:dyDescent="0.25">
      <c r="A442" t="str">
        <f>"438"</f>
        <v>438</v>
      </c>
      <c r="B442" t="str">
        <f t="shared" si="22"/>
        <v>102</v>
      </c>
      <c r="C442" t="str">
        <f t="shared" si="24"/>
        <v>18</v>
      </c>
      <c r="D442" t="str">
        <f>"15"</f>
        <v>15</v>
      </c>
      <c r="E442" t="str">
        <f>"102-18-15"</f>
        <v>102-18-15</v>
      </c>
      <c r="F442" t="s">
        <v>27</v>
      </c>
      <c r="G442" t="s">
        <v>28</v>
      </c>
      <c r="H442">
        <v>1</v>
      </c>
      <c r="Q442">
        <v>0</v>
      </c>
      <c r="R442">
        <v>1</v>
      </c>
      <c r="S442">
        <v>0</v>
      </c>
      <c r="T442">
        <v>1</v>
      </c>
      <c r="U442">
        <v>0</v>
      </c>
      <c r="V442">
        <v>1</v>
      </c>
    </row>
    <row r="443" spans="1:22" x14ac:dyDescent="0.25">
      <c r="A443" t="str">
        <f>"439"</f>
        <v>439</v>
      </c>
      <c r="B443" t="str">
        <f t="shared" si="22"/>
        <v>102</v>
      </c>
      <c r="C443" t="str">
        <f t="shared" si="24"/>
        <v>18</v>
      </c>
      <c r="D443" t="str">
        <f>"6"</f>
        <v>6</v>
      </c>
      <c r="E443" t="str">
        <f>"102-18-6"</f>
        <v>102-18-6</v>
      </c>
      <c r="F443" t="s">
        <v>27</v>
      </c>
      <c r="G443" t="s">
        <v>28</v>
      </c>
      <c r="H443">
        <v>1</v>
      </c>
      <c r="Q443">
        <v>0</v>
      </c>
      <c r="R443">
        <v>1</v>
      </c>
      <c r="S443">
        <v>0</v>
      </c>
      <c r="T443">
        <v>1</v>
      </c>
      <c r="U443">
        <v>0</v>
      </c>
      <c r="V443">
        <v>1</v>
      </c>
    </row>
    <row r="444" spans="1:22" x14ac:dyDescent="0.25">
      <c r="A444" t="str">
        <f>"440"</f>
        <v>440</v>
      </c>
      <c r="B444" t="str">
        <f t="shared" si="22"/>
        <v>102</v>
      </c>
      <c r="C444" t="str">
        <f t="shared" si="24"/>
        <v>18</v>
      </c>
      <c r="D444" t="str">
        <f>"22"</f>
        <v>22</v>
      </c>
      <c r="E444" t="str">
        <f>"102-18-22"</f>
        <v>102-18-22</v>
      </c>
      <c r="F444" t="s">
        <v>27</v>
      </c>
      <c r="G444" t="s">
        <v>28</v>
      </c>
      <c r="H444">
        <v>1</v>
      </c>
      <c r="Q444">
        <v>0</v>
      </c>
      <c r="R444">
        <v>1</v>
      </c>
      <c r="S444">
        <v>0</v>
      </c>
      <c r="T444">
        <v>1</v>
      </c>
      <c r="U444">
        <v>0</v>
      </c>
      <c r="V444">
        <v>1</v>
      </c>
    </row>
    <row r="445" spans="1:22" x14ac:dyDescent="0.25">
      <c r="A445" t="str">
        <f>"441"</f>
        <v>441</v>
      </c>
      <c r="B445" t="str">
        <f t="shared" si="22"/>
        <v>102</v>
      </c>
      <c r="C445" t="str">
        <f t="shared" si="24"/>
        <v>18</v>
      </c>
      <c r="D445" t="str">
        <f>"16"</f>
        <v>16</v>
      </c>
      <c r="E445" t="str">
        <f>"102-18-16"</f>
        <v>102-18-16</v>
      </c>
      <c r="F445" t="s">
        <v>27</v>
      </c>
      <c r="G445" t="s">
        <v>28</v>
      </c>
      <c r="H445">
        <v>1</v>
      </c>
      <c r="Q445">
        <v>0</v>
      </c>
      <c r="R445">
        <v>1</v>
      </c>
      <c r="S445">
        <v>0</v>
      </c>
      <c r="T445">
        <v>1</v>
      </c>
      <c r="U445">
        <v>0</v>
      </c>
      <c r="V445">
        <v>1</v>
      </c>
    </row>
    <row r="446" spans="1:22" x14ac:dyDescent="0.25">
      <c r="A446" t="str">
        <f>"442"</f>
        <v>442</v>
      </c>
      <c r="B446" t="str">
        <f t="shared" si="22"/>
        <v>102</v>
      </c>
      <c r="C446" t="str">
        <f t="shared" si="24"/>
        <v>18</v>
      </c>
      <c r="D446" t="str">
        <f>"10"</f>
        <v>10</v>
      </c>
      <c r="E446" t="str">
        <f>"102-18-10"</f>
        <v>102-18-10</v>
      </c>
      <c r="F446" t="s">
        <v>27</v>
      </c>
      <c r="G446" t="s">
        <v>28</v>
      </c>
      <c r="H446">
        <v>1</v>
      </c>
      <c r="Q446">
        <v>0</v>
      </c>
      <c r="R446">
        <v>1</v>
      </c>
      <c r="S446">
        <v>0</v>
      </c>
      <c r="T446">
        <v>1</v>
      </c>
      <c r="U446">
        <v>0</v>
      </c>
      <c r="V446">
        <v>1</v>
      </c>
    </row>
    <row r="447" spans="1:22" x14ac:dyDescent="0.25">
      <c r="A447" t="str">
        <f>"443"</f>
        <v>443</v>
      </c>
      <c r="B447" t="str">
        <f t="shared" si="22"/>
        <v>102</v>
      </c>
      <c r="C447" t="str">
        <f t="shared" si="24"/>
        <v>18</v>
      </c>
      <c r="D447" t="str">
        <f>"17"</f>
        <v>17</v>
      </c>
      <c r="E447" t="str">
        <f>"102-18-17"</f>
        <v>102-18-17</v>
      </c>
      <c r="F447" t="s">
        <v>27</v>
      </c>
      <c r="G447" t="s">
        <v>28</v>
      </c>
      <c r="H447">
        <v>1</v>
      </c>
      <c r="Q447">
        <v>0</v>
      </c>
      <c r="R447">
        <v>1</v>
      </c>
      <c r="S447">
        <v>0</v>
      </c>
      <c r="T447">
        <v>1</v>
      </c>
      <c r="U447">
        <v>0</v>
      </c>
      <c r="V447">
        <v>1</v>
      </c>
    </row>
    <row r="448" spans="1:22" x14ac:dyDescent="0.25">
      <c r="A448" t="str">
        <f>"444"</f>
        <v>444</v>
      </c>
      <c r="B448" t="str">
        <f t="shared" si="22"/>
        <v>102</v>
      </c>
      <c r="C448" t="str">
        <f t="shared" si="24"/>
        <v>18</v>
      </c>
      <c r="D448" t="str">
        <f>"4"</f>
        <v>4</v>
      </c>
      <c r="E448" t="str">
        <f>"102-18-4"</f>
        <v>102-18-4</v>
      </c>
      <c r="F448" t="s">
        <v>27</v>
      </c>
      <c r="G448" t="s">
        <v>28</v>
      </c>
      <c r="H448">
        <v>1</v>
      </c>
      <c r="Q448">
        <v>1</v>
      </c>
      <c r="R448">
        <v>0</v>
      </c>
      <c r="S448">
        <v>1</v>
      </c>
      <c r="T448">
        <v>0</v>
      </c>
      <c r="U448">
        <v>0</v>
      </c>
      <c r="V448">
        <v>1</v>
      </c>
    </row>
    <row r="449" spans="1:22" x14ac:dyDescent="0.25">
      <c r="A449" t="str">
        <f>"445"</f>
        <v>445</v>
      </c>
      <c r="B449" t="str">
        <f t="shared" si="22"/>
        <v>102</v>
      </c>
      <c r="C449" t="str">
        <f t="shared" si="24"/>
        <v>18</v>
      </c>
      <c r="D449" t="str">
        <f>"18"</f>
        <v>18</v>
      </c>
      <c r="E449" t="str">
        <f>"102-18-18"</f>
        <v>102-18-18</v>
      </c>
      <c r="F449" t="s">
        <v>27</v>
      </c>
      <c r="G449" t="s">
        <v>28</v>
      </c>
      <c r="H449">
        <v>1</v>
      </c>
      <c r="Q449">
        <v>0</v>
      </c>
      <c r="R449">
        <v>1</v>
      </c>
      <c r="S449">
        <v>0</v>
      </c>
      <c r="T449">
        <v>1</v>
      </c>
      <c r="U449">
        <v>1</v>
      </c>
      <c r="V449">
        <v>0</v>
      </c>
    </row>
    <row r="450" spans="1:22" x14ac:dyDescent="0.25">
      <c r="A450" t="str">
        <f>"446"</f>
        <v>446</v>
      </c>
      <c r="B450" t="str">
        <f t="shared" si="22"/>
        <v>102</v>
      </c>
      <c r="C450" t="str">
        <f t="shared" si="24"/>
        <v>18</v>
      </c>
      <c r="D450" t="str">
        <f>"5"</f>
        <v>5</v>
      </c>
      <c r="E450" t="str">
        <f>"102-18-5"</f>
        <v>102-18-5</v>
      </c>
      <c r="F450" t="s">
        <v>27</v>
      </c>
      <c r="G450" t="s">
        <v>28</v>
      </c>
      <c r="H450">
        <v>1</v>
      </c>
      <c r="Q450">
        <v>0</v>
      </c>
      <c r="R450">
        <v>1</v>
      </c>
      <c r="S450">
        <v>0</v>
      </c>
      <c r="T450">
        <v>1</v>
      </c>
      <c r="U450">
        <v>0</v>
      </c>
      <c r="V450">
        <v>1</v>
      </c>
    </row>
    <row r="451" spans="1:22" x14ac:dyDescent="0.25">
      <c r="A451" t="str">
        <f>"447"</f>
        <v>447</v>
      </c>
      <c r="B451" t="str">
        <f t="shared" si="22"/>
        <v>102</v>
      </c>
      <c r="C451" t="str">
        <f t="shared" si="24"/>
        <v>18</v>
      </c>
      <c r="D451" t="str">
        <f>"20"</f>
        <v>20</v>
      </c>
      <c r="E451" t="str">
        <f>"102-18-20"</f>
        <v>102-18-20</v>
      </c>
      <c r="F451" t="s">
        <v>27</v>
      </c>
      <c r="G451" t="s">
        <v>28</v>
      </c>
      <c r="H451">
        <v>1</v>
      </c>
      <c r="Q451">
        <v>0</v>
      </c>
      <c r="R451">
        <v>1</v>
      </c>
      <c r="S451">
        <v>0</v>
      </c>
      <c r="T451">
        <v>1</v>
      </c>
      <c r="U451">
        <v>0</v>
      </c>
      <c r="V451">
        <v>1</v>
      </c>
    </row>
    <row r="452" spans="1:22" x14ac:dyDescent="0.25">
      <c r="A452" t="str">
        <f>"448"</f>
        <v>448</v>
      </c>
      <c r="B452" t="str">
        <f t="shared" si="22"/>
        <v>102</v>
      </c>
      <c r="C452" t="str">
        <f t="shared" si="24"/>
        <v>18</v>
      </c>
      <c r="D452" t="str">
        <f>"8"</f>
        <v>8</v>
      </c>
      <c r="E452" t="str">
        <f>"102-18-8"</f>
        <v>102-18-8</v>
      </c>
      <c r="F452" t="s">
        <v>27</v>
      </c>
      <c r="G452" t="s">
        <v>28</v>
      </c>
      <c r="H452">
        <v>1</v>
      </c>
      <c r="Q452">
        <v>0</v>
      </c>
      <c r="R452">
        <v>1</v>
      </c>
      <c r="S452">
        <v>0</v>
      </c>
      <c r="T452">
        <v>1</v>
      </c>
      <c r="U452">
        <v>0</v>
      </c>
      <c r="V452">
        <v>1</v>
      </c>
    </row>
    <row r="453" spans="1:22" x14ac:dyDescent="0.25">
      <c r="A453" t="str">
        <f>"449"</f>
        <v>449</v>
      </c>
      <c r="B453" t="str">
        <f t="shared" ref="B453:B516" si="25">"102"</f>
        <v>102</v>
      </c>
      <c r="C453" t="str">
        <f t="shared" si="24"/>
        <v>18</v>
      </c>
      <c r="D453" t="str">
        <f>"21"</f>
        <v>21</v>
      </c>
      <c r="E453" t="str">
        <f>"102-18-21"</f>
        <v>102-18-21</v>
      </c>
      <c r="F453" t="s">
        <v>27</v>
      </c>
      <c r="G453" t="s">
        <v>28</v>
      </c>
      <c r="H453">
        <v>1</v>
      </c>
      <c r="Q453">
        <v>0</v>
      </c>
      <c r="R453">
        <v>1</v>
      </c>
      <c r="S453">
        <v>0</v>
      </c>
      <c r="T453">
        <v>1</v>
      </c>
      <c r="U453">
        <v>0</v>
      </c>
      <c r="V453">
        <v>1</v>
      </c>
    </row>
    <row r="454" spans="1:22" x14ac:dyDescent="0.25">
      <c r="A454" t="str">
        <f>"450"</f>
        <v>450</v>
      </c>
      <c r="B454" t="str">
        <f t="shared" si="25"/>
        <v>102</v>
      </c>
      <c r="C454" t="str">
        <f t="shared" si="24"/>
        <v>18</v>
      </c>
      <c r="D454" t="str">
        <f>"9"</f>
        <v>9</v>
      </c>
      <c r="E454" t="str">
        <f>"102-18-9"</f>
        <v>102-18-9</v>
      </c>
      <c r="F454" t="s">
        <v>27</v>
      </c>
      <c r="G454" t="s">
        <v>28</v>
      </c>
      <c r="H454">
        <v>1</v>
      </c>
      <c r="Q454">
        <v>0</v>
      </c>
      <c r="R454">
        <v>1</v>
      </c>
      <c r="S454">
        <v>0</v>
      </c>
      <c r="T454">
        <v>1</v>
      </c>
      <c r="U454">
        <v>0</v>
      </c>
      <c r="V454">
        <v>1</v>
      </c>
    </row>
    <row r="455" spans="1:22" x14ac:dyDescent="0.25">
      <c r="A455" t="str">
        <f>"451"</f>
        <v>451</v>
      </c>
      <c r="B455" t="str">
        <f t="shared" si="25"/>
        <v>102</v>
      </c>
      <c r="C455" t="str">
        <f t="shared" ref="C455:C479" si="26">"19"</f>
        <v>19</v>
      </c>
      <c r="D455" t="str">
        <f>"23"</f>
        <v>23</v>
      </c>
      <c r="E455" t="str">
        <f>"102-19-23"</f>
        <v>102-19-23</v>
      </c>
      <c r="F455" t="s">
        <v>27</v>
      </c>
      <c r="G455" t="s">
        <v>28</v>
      </c>
      <c r="H455">
        <v>1</v>
      </c>
      <c r="Q455">
        <v>0</v>
      </c>
      <c r="R455">
        <v>1</v>
      </c>
      <c r="S455">
        <v>0</v>
      </c>
      <c r="T455">
        <v>1</v>
      </c>
      <c r="U455">
        <v>0</v>
      </c>
      <c r="V455">
        <v>1</v>
      </c>
    </row>
    <row r="456" spans="1:22" x14ac:dyDescent="0.25">
      <c r="A456" t="str">
        <f>"452"</f>
        <v>452</v>
      </c>
      <c r="B456" t="str">
        <f t="shared" si="25"/>
        <v>102</v>
      </c>
      <c r="C456" t="str">
        <f t="shared" si="26"/>
        <v>19</v>
      </c>
      <c r="D456" t="str">
        <f>"11"</f>
        <v>11</v>
      </c>
      <c r="E456" t="str">
        <f>"102-19-11"</f>
        <v>102-19-11</v>
      </c>
      <c r="F456" t="s">
        <v>27</v>
      </c>
      <c r="G456" t="s">
        <v>28</v>
      </c>
      <c r="H456">
        <v>1</v>
      </c>
      <c r="Q456">
        <v>0</v>
      </c>
      <c r="R456">
        <v>1</v>
      </c>
      <c r="S456">
        <v>0</v>
      </c>
      <c r="T456">
        <v>1</v>
      </c>
      <c r="U456">
        <v>0</v>
      </c>
      <c r="V456">
        <v>1</v>
      </c>
    </row>
    <row r="457" spans="1:22" x14ac:dyDescent="0.25">
      <c r="A457" t="str">
        <f>"453"</f>
        <v>453</v>
      </c>
      <c r="B457" t="str">
        <f t="shared" si="25"/>
        <v>102</v>
      </c>
      <c r="C457" t="str">
        <f t="shared" si="26"/>
        <v>19</v>
      </c>
      <c r="D457" t="str">
        <f>"1"</f>
        <v>1</v>
      </c>
      <c r="E457" t="str">
        <f>"102-19-1"</f>
        <v>102-19-1</v>
      </c>
      <c r="F457" t="s">
        <v>27</v>
      </c>
      <c r="G457" t="s">
        <v>28</v>
      </c>
      <c r="H457">
        <v>1</v>
      </c>
      <c r="Q457">
        <v>1</v>
      </c>
      <c r="R457">
        <v>0</v>
      </c>
      <c r="S457">
        <v>1</v>
      </c>
      <c r="T457">
        <v>0</v>
      </c>
      <c r="U457">
        <v>1</v>
      </c>
      <c r="V457">
        <v>0</v>
      </c>
    </row>
    <row r="458" spans="1:22" x14ac:dyDescent="0.25">
      <c r="A458" t="str">
        <f>"454"</f>
        <v>454</v>
      </c>
      <c r="B458" t="str">
        <f t="shared" si="25"/>
        <v>102</v>
      </c>
      <c r="C458" t="str">
        <f t="shared" si="26"/>
        <v>19</v>
      </c>
      <c r="D458" t="str">
        <f>"21"</f>
        <v>21</v>
      </c>
      <c r="E458" t="str">
        <f>"102-19-21"</f>
        <v>102-19-21</v>
      </c>
      <c r="F458" t="s">
        <v>27</v>
      </c>
      <c r="G458" t="s">
        <v>28</v>
      </c>
      <c r="H458">
        <v>1</v>
      </c>
      <c r="Q458">
        <v>0</v>
      </c>
      <c r="R458">
        <v>1</v>
      </c>
      <c r="S458">
        <v>0</v>
      </c>
      <c r="T458">
        <v>1</v>
      </c>
      <c r="U458">
        <v>0</v>
      </c>
      <c r="V458">
        <v>1</v>
      </c>
    </row>
    <row r="459" spans="1:22" x14ac:dyDescent="0.25">
      <c r="A459" t="str">
        <f>"455"</f>
        <v>455</v>
      </c>
      <c r="B459" t="str">
        <f t="shared" si="25"/>
        <v>102</v>
      </c>
      <c r="C459" t="str">
        <f t="shared" si="26"/>
        <v>19</v>
      </c>
      <c r="D459" t="str">
        <f>"12"</f>
        <v>12</v>
      </c>
      <c r="E459" t="str">
        <f>"102-19-12"</f>
        <v>102-19-12</v>
      </c>
      <c r="F459" t="s">
        <v>27</v>
      </c>
      <c r="G459" t="s">
        <v>28</v>
      </c>
      <c r="H459">
        <v>1</v>
      </c>
      <c r="Q459">
        <v>0</v>
      </c>
      <c r="R459">
        <v>1</v>
      </c>
      <c r="S459">
        <v>0</v>
      </c>
      <c r="T459">
        <v>1</v>
      </c>
      <c r="U459">
        <v>0</v>
      </c>
      <c r="V459">
        <v>1</v>
      </c>
    </row>
    <row r="460" spans="1:22" x14ac:dyDescent="0.25">
      <c r="A460" t="str">
        <f>"456"</f>
        <v>456</v>
      </c>
      <c r="B460" t="str">
        <f t="shared" si="25"/>
        <v>102</v>
      </c>
      <c r="C460" t="str">
        <f t="shared" si="26"/>
        <v>19</v>
      </c>
      <c r="D460" t="str">
        <f>"6"</f>
        <v>6</v>
      </c>
      <c r="E460" t="str">
        <f>"102-19-6"</f>
        <v>102-19-6</v>
      </c>
      <c r="F460" t="s">
        <v>27</v>
      </c>
      <c r="G460" t="s">
        <v>28</v>
      </c>
      <c r="H460">
        <v>1</v>
      </c>
      <c r="Q460">
        <v>0</v>
      </c>
      <c r="R460">
        <v>1</v>
      </c>
      <c r="S460">
        <v>0</v>
      </c>
      <c r="T460">
        <v>1</v>
      </c>
      <c r="U460">
        <v>0</v>
      </c>
      <c r="V460">
        <v>1</v>
      </c>
    </row>
    <row r="461" spans="1:22" x14ac:dyDescent="0.25">
      <c r="A461" t="str">
        <f>"457"</f>
        <v>457</v>
      </c>
      <c r="B461" t="str">
        <f t="shared" si="25"/>
        <v>102</v>
      </c>
      <c r="C461" t="str">
        <f t="shared" si="26"/>
        <v>19</v>
      </c>
      <c r="D461" t="str">
        <f>"22"</f>
        <v>22</v>
      </c>
      <c r="E461" t="str">
        <f>"102-19-22"</f>
        <v>102-19-22</v>
      </c>
      <c r="F461" t="s">
        <v>27</v>
      </c>
      <c r="G461" t="s">
        <v>28</v>
      </c>
      <c r="H461">
        <v>1</v>
      </c>
      <c r="Q461">
        <v>0</v>
      </c>
      <c r="R461">
        <v>1</v>
      </c>
      <c r="S461">
        <v>0</v>
      </c>
      <c r="T461">
        <v>1</v>
      </c>
      <c r="U461">
        <v>0</v>
      </c>
      <c r="V461">
        <v>1</v>
      </c>
    </row>
    <row r="462" spans="1:22" x14ac:dyDescent="0.25">
      <c r="A462" t="str">
        <f>"458"</f>
        <v>458</v>
      </c>
      <c r="B462" t="str">
        <f t="shared" si="25"/>
        <v>102</v>
      </c>
      <c r="C462" t="str">
        <f t="shared" si="26"/>
        <v>19</v>
      </c>
      <c r="D462" t="str">
        <f>"13"</f>
        <v>13</v>
      </c>
      <c r="E462" t="str">
        <f>"102-19-13"</f>
        <v>102-19-13</v>
      </c>
      <c r="F462" t="s">
        <v>27</v>
      </c>
      <c r="G462" t="s">
        <v>28</v>
      </c>
      <c r="H462">
        <v>1</v>
      </c>
      <c r="Q462">
        <v>1</v>
      </c>
      <c r="R462">
        <v>0</v>
      </c>
      <c r="S462">
        <v>1</v>
      </c>
      <c r="T462">
        <v>0</v>
      </c>
      <c r="U462">
        <v>1</v>
      </c>
      <c r="V462">
        <v>0</v>
      </c>
    </row>
    <row r="463" spans="1:22" x14ac:dyDescent="0.25">
      <c r="A463" t="str">
        <f>"459"</f>
        <v>459</v>
      </c>
      <c r="B463" t="str">
        <f t="shared" si="25"/>
        <v>102</v>
      </c>
      <c r="C463" t="str">
        <f t="shared" si="26"/>
        <v>19</v>
      </c>
      <c r="D463" t="str">
        <f>"9"</f>
        <v>9</v>
      </c>
      <c r="E463" t="str">
        <f>"102-19-9"</f>
        <v>102-19-9</v>
      </c>
      <c r="F463" t="s">
        <v>27</v>
      </c>
      <c r="G463" t="s">
        <v>28</v>
      </c>
      <c r="H463">
        <v>1</v>
      </c>
      <c r="Q463">
        <v>1</v>
      </c>
      <c r="R463">
        <v>0</v>
      </c>
      <c r="S463">
        <v>1</v>
      </c>
      <c r="T463">
        <v>0</v>
      </c>
      <c r="U463">
        <v>1</v>
      </c>
      <c r="V463">
        <v>0</v>
      </c>
    </row>
    <row r="464" spans="1:22" x14ac:dyDescent="0.25">
      <c r="A464" t="str">
        <f>"460"</f>
        <v>460</v>
      </c>
      <c r="B464" t="str">
        <f t="shared" si="25"/>
        <v>102</v>
      </c>
      <c r="C464" t="str">
        <f t="shared" si="26"/>
        <v>19</v>
      </c>
      <c r="D464" t="str">
        <f>"24"</f>
        <v>24</v>
      </c>
      <c r="E464" t="str">
        <f>"102-19-24"</f>
        <v>102-19-24</v>
      </c>
      <c r="F464" t="s">
        <v>27</v>
      </c>
      <c r="G464" t="s">
        <v>28</v>
      </c>
      <c r="H464">
        <v>1</v>
      </c>
      <c r="Q464">
        <v>1</v>
      </c>
      <c r="R464">
        <v>0</v>
      </c>
      <c r="S464">
        <v>1</v>
      </c>
      <c r="T464">
        <v>0</v>
      </c>
      <c r="U464">
        <v>1</v>
      </c>
      <c r="V464">
        <v>0</v>
      </c>
    </row>
    <row r="465" spans="1:26" x14ac:dyDescent="0.25">
      <c r="A465" t="str">
        <f>"461"</f>
        <v>461</v>
      </c>
      <c r="B465" t="str">
        <f t="shared" si="25"/>
        <v>102</v>
      </c>
      <c r="C465" t="str">
        <f t="shared" si="26"/>
        <v>19</v>
      </c>
      <c r="D465" t="str">
        <f>"14"</f>
        <v>14</v>
      </c>
      <c r="E465" t="str">
        <f>"102-19-14"</f>
        <v>102-19-14</v>
      </c>
      <c r="F465" t="s">
        <v>27</v>
      </c>
      <c r="G465" t="s">
        <v>28</v>
      </c>
      <c r="H465">
        <v>1</v>
      </c>
      <c r="Q465">
        <v>0</v>
      </c>
      <c r="R465">
        <v>1</v>
      </c>
      <c r="S465">
        <v>0</v>
      </c>
      <c r="T465">
        <v>1</v>
      </c>
      <c r="U465">
        <v>0</v>
      </c>
      <c r="V465">
        <v>1</v>
      </c>
    </row>
    <row r="466" spans="1:26" x14ac:dyDescent="0.25">
      <c r="A466" t="str">
        <f>"462"</f>
        <v>462</v>
      </c>
      <c r="B466" t="str">
        <f t="shared" si="25"/>
        <v>102</v>
      </c>
      <c r="C466" t="str">
        <f t="shared" si="26"/>
        <v>19</v>
      </c>
      <c r="D466" t="str">
        <f>"7"</f>
        <v>7</v>
      </c>
      <c r="E466" t="str">
        <f>"102-19-7"</f>
        <v>102-19-7</v>
      </c>
      <c r="F466" t="s">
        <v>27</v>
      </c>
      <c r="G466" t="s">
        <v>28</v>
      </c>
      <c r="H466">
        <v>1</v>
      </c>
      <c r="Q466">
        <v>0</v>
      </c>
      <c r="R466">
        <v>1</v>
      </c>
      <c r="S466">
        <v>0</v>
      </c>
      <c r="T466">
        <v>1</v>
      </c>
      <c r="U466">
        <v>0</v>
      </c>
      <c r="V466">
        <v>1</v>
      </c>
    </row>
    <row r="467" spans="1:26" x14ac:dyDescent="0.25">
      <c r="A467" t="str">
        <f>"463"</f>
        <v>463</v>
      </c>
      <c r="B467" t="str">
        <f t="shared" si="25"/>
        <v>102</v>
      </c>
      <c r="C467" t="str">
        <f t="shared" si="26"/>
        <v>19</v>
      </c>
      <c r="D467" t="str">
        <f>"25"</f>
        <v>25</v>
      </c>
      <c r="E467" t="str">
        <f>"102-19-25"</f>
        <v>102-19-25</v>
      </c>
      <c r="F467" t="s">
        <v>27</v>
      </c>
      <c r="G467" t="s">
        <v>28</v>
      </c>
      <c r="H467">
        <v>1</v>
      </c>
      <c r="Q467">
        <v>0</v>
      </c>
      <c r="R467">
        <v>1</v>
      </c>
      <c r="S467">
        <v>0</v>
      </c>
      <c r="T467">
        <v>1</v>
      </c>
      <c r="U467">
        <v>0</v>
      </c>
      <c r="V467">
        <v>1</v>
      </c>
    </row>
    <row r="468" spans="1:26" x14ac:dyDescent="0.25">
      <c r="A468" t="str">
        <f>"464"</f>
        <v>464</v>
      </c>
      <c r="B468" t="str">
        <f t="shared" si="25"/>
        <v>102</v>
      </c>
      <c r="C468" t="str">
        <f t="shared" si="26"/>
        <v>19</v>
      </c>
      <c r="D468" t="str">
        <f>"15"</f>
        <v>15</v>
      </c>
      <c r="E468" t="str">
        <f>"102-19-15"</f>
        <v>102-19-15</v>
      </c>
      <c r="F468" t="s">
        <v>27</v>
      </c>
      <c r="G468" t="s">
        <v>28</v>
      </c>
      <c r="H468">
        <v>1</v>
      </c>
      <c r="Q468">
        <v>0</v>
      </c>
      <c r="R468">
        <v>1</v>
      </c>
      <c r="S468">
        <v>0</v>
      </c>
      <c r="T468">
        <v>1</v>
      </c>
      <c r="U468">
        <v>1</v>
      </c>
      <c r="V468">
        <v>0</v>
      </c>
    </row>
    <row r="469" spans="1:26" x14ac:dyDescent="0.25">
      <c r="A469" t="str">
        <f>"465"</f>
        <v>465</v>
      </c>
      <c r="B469" t="str">
        <f t="shared" si="25"/>
        <v>102</v>
      </c>
      <c r="C469" t="str">
        <f t="shared" si="26"/>
        <v>19</v>
      </c>
      <c r="D469" t="str">
        <f>"8"</f>
        <v>8</v>
      </c>
      <c r="E469" t="str">
        <f>"102-19-8"</f>
        <v>102-19-8</v>
      </c>
      <c r="F469" t="s">
        <v>27</v>
      </c>
      <c r="G469" t="s">
        <v>28</v>
      </c>
      <c r="H469">
        <v>1</v>
      </c>
      <c r="Q469">
        <v>0</v>
      </c>
      <c r="R469">
        <v>1</v>
      </c>
      <c r="S469">
        <v>0</v>
      </c>
      <c r="T469">
        <v>1</v>
      </c>
      <c r="U469">
        <v>0</v>
      </c>
      <c r="V469">
        <v>1</v>
      </c>
    </row>
    <row r="470" spans="1:26" x14ac:dyDescent="0.25">
      <c r="A470" t="str">
        <f>"466"</f>
        <v>466</v>
      </c>
      <c r="B470" t="str">
        <f t="shared" si="25"/>
        <v>102</v>
      </c>
      <c r="C470" t="str">
        <f t="shared" si="26"/>
        <v>19</v>
      </c>
      <c r="D470" t="str">
        <f>"16"</f>
        <v>16</v>
      </c>
      <c r="E470" t="str">
        <f>"102-19-16"</f>
        <v>102-19-16</v>
      </c>
      <c r="F470" t="s">
        <v>27</v>
      </c>
      <c r="G470" t="s">
        <v>28</v>
      </c>
      <c r="H470">
        <v>1</v>
      </c>
      <c r="Q470">
        <v>0</v>
      </c>
      <c r="R470">
        <v>1</v>
      </c>
      <c r="S470">
        <v>0</v>
      </c>
      <c r="T470">
        <v>1</v>
      </c>
      <c r="U470">
        <v>1</v>
      </c>
      <c r="V470">
        <v>0</v>
      </c>
    </row>
    <row r="471" spans="1:26" x14ac:dyDescent="0.25">
      <c r="A471" t="str">
        <f>"467"</f>
        <v>467</v>
      </c>
      <c r="B471" t="str">
        <f t="shared" si="25"/>
        <v>102</v>
      </c>
      <c r="C471" t="str">
        <f t="shared" si="26"/>
        <v>19</v>
      </c>
      <c r="D471" t="str">
        <f>"4"</f>
        <v>4</v>
      </c>
      <c r="E471" t="str">
        <f>"102-19-4"</f>
        <v>102-19-4</v>
      </c>
      <c r="F471" t="s">
        <v>27</v>
      </c>
      <c r="G471" t="s">
        <v>28</v>
      </c>
      <c r="H471">
        <v>1</v>
      </c>
      <c r="Q471">
        <v>0</v>
      </c>
      <c r="R471">
        <v>1</v>
      </c>
      <c r="S471">
        <v>0</v>
      </c>
      <c r="T471">
        <v>1</v>
      </c>
      <c r="U471">
        <v>0</v>
      </c>
      <c r="V471">
        <v>1</v>
      </c>
    </row>
    <row r="472" spans="1:26" x14ac:dyDescent="0.25">
      <c r="A472" t="str">
        <f>"468"</f>
        <v>468</v>
      </c>
      <c r="B472" t="str">
        <f t="shared" si="25"/>
        <v>102</v>
      </c>
      <c r="C472" t="str">
        <f t="shared" si="26"/>
        <v>19</v>
      </c>
      <c r="D472" t="str">
        <f>"17"</f>
        <v>17</v>
      </c>
      <c r="E472" t="str">
        <f>"102-19-17"</f>
        <v>102-19-17</v>
      </c>
      <c r="F472" t="s">
        <v>27</v>
      </c>
      <c r="G472" t="s">
        <v>28</v>
      </c>
      <c r="H472">
        <v>1</v>
      </c>
      <c r="Q472">
        <v>0</v>
      </c>
      <c r="R472">
        <v>1</v>
      </c>
      <c r="S472">
        <v>0</v>
      </c>
      <c r="T472">
        <v>1</v>
      </c>
      <c r="U472">
        <v>0</v>
      </c>
      <c r="V472">
        <v>1</v>
      </c>
    </row>
    <row r="473" spans="1:26" x14ac:dyDescent="0.25">
      <c r="A473" t="str">
        <f>"469"</f>
        <v>469</v>
      </c>
      <c r="B473" t="str">
        <f t="shared" si="25"/>
        <v>102</v>
      </c>
      <c r="C473" t="str">
        <f t="shared" si="26"/>
        <v>19</v>
      </c>
      <c r="D473" t="str">
        <f>"10"</f>
        <v>10</v>
      </c>
      <c r="E473" t="str">
        <f>"102-19-10"</f>
        <v>102-19-10</v>
      </c>
      <c r="F473" t="s">
        <v>27</v>
      </c>
      <c r="G473" t="s">
        <v>28</v>
      </c>
      <c r="H473">
        <v>1</v>
      </c>
      <c r="Q473">
        <v>1</v>
      </c>
      <c r="R473">
        <v>0</v>
      </c>
      <c r="S473">
        <v>0</v>
      </c>
      <c r="T473">
        <v>1</v>
      </c>
      <c r="U473">
        <v>1</v>
      </c>
      <c r="V473">
        <v>0</v>
      </c>
    </row>
    <row r="474" spans="1:26" x14ac:dyDescent="0.25">
      <c r="A474" t="str">
        <f>"470"</f>
        <v>470</v>
      </c>
      <c r="B474" t="str">
        <f t="shared" si="25"/>
        <v>102</v>
      </c>
      <c r="C474" t="str">
        <f t="shared" si="26"/>
        <v>19</v>
      </c>
      <c r="D474" t="str">
        <f>"18"</f>
        <v>18</v>
      </c>
      <c r="E474" t="str">
        <f>"102-19-18"</f>
        <v>102-19-18</v>
      </c>
      <c r="F474" t="s">
        <v>27</v>
      </c>
      <c r="G474" t="s">
        <v>28</v>
      </c>
      <c r="H474">
        <v>1</v>
      </c>
      <c r="Q474">
        <v>0</v>
      </c>
      <c r="R474">
        <v>1</v>
      </c>
      <c r="S474">
        <v>0</v>
      </c>
      <c r="T474">
        <v>1</v>
      </c>
      <c r="U474">
        <v>0</v>
      </c>
      <c r="V474">
        <v>1</v>
      </c>
    </row>
    <row r="475" spans="1:26" x14ac:dyDescent="0.25">
      <c r="A475" t="str">
        <f>"471"</f>
        <v>471</v>
      </c>
      <c r="B475" t="str">
        <f t="shared" si="25"/>
        <v>102</v>
      </c>
      <c r="C475" t="str">
        <f t="shared" si="26"/>
        <v>19</v>
      </c>
      <c r="D475" t="str">
        <f>"2"</f>
        <v>2</v>
      </c>
      <c r="E475" t="str">
        <f>"102-19-2"</f>
        <v>102-19-2</v>
      </c>
      <c r="F475" t="s">
        <v>27</v>
      </c>
      <c r="G475" t="s">
        <v>29</v>
      </c>
      <c r="H475">
        <v>3</v>
      </c>
      <c r="M475">
        <v>1</v>
      </c>
      <c r="N475">
        <v>0</v>
      </c>
      <c r="O475">
        <v>1</v>
      </c>
      <c r="P475">
        <v>1</v>
      </c>
      <c r="Q475">
        <v>1</v>
      </c>
      <c r="R475">
        <v>0</v>
      </c>
      <c r="S475">
        <v>0</v>
      </c>
      <c r="T475">
        <v>1</v>
      </c>
      <c r="U475">
        <v>1</v>
      </c>
      <c r="V475">
        <v>0</v>
      </c>
      <c r="Y475">
        <v>1</v>
      </c>
      <c r="Z475">
        <v>0</v>
      </c>
    </row>
    <row r="476" spans="1:26" x14ac:dyDescent="0.25">
      <c r="A476" t="str">
        <f>"472"</f>
        <v>472</v>
      </c>
      <c r="B476" t="str">
        <f t="shared" si="25"/>
        <v>102</v>
      </c>
      <c r="C476" t="str">
        <f t="shared" si="26"/>
        <v>19</v>
      </c>
      <c r="D476" t="str">
        <f>"19"</f>
        <v>19</v>
      </c>
      <c r="E476" t="str">
        <f>"102-19-19"</f>
        <v>102-19-19</v>
      </c>
      <c r="F476" t="s">
        <v>27</v>
      </c>
      <c r="G476" t="s">
        <v>28</v>
      </c>
      <c r="H476">
        <v>1</v>
      </c>
      <c r="Q476">
        <v>0</v>
      </c>
      <c r="R476">
        <v>1</v>
      </c>
      <c r="S476">
        <v>0</v>
      </c>
      <c r="T476">
        <v>1</v>
      </c>
      <c r="U476">
        <v>0</v>
      </c>
      <c r="V476">
        <v>1</v>
      </c>
    </row>
    <row r="477" spans="1:26" x14ac:dyDescent="0.25">
      <c r="A477" t="str">
        <f>"473"</f>
        <v>473</v>
      </c>
      <c r="B477" t="str">
        <f t="shared" si="25"/>
        <v>102</v>
      </c>
      <c r="C477" t="str">
        <f t="shared" si="26"/>
        <v>19</v>
      </c>
      <c r="D477" t="str">
        <f>"5"</f>
        <v>5</v>
      </c>
      <c r="E477" t="str">
        <f>"102-19-5"</f>
        <v>102-19-5</v>
      </c>
      <c r="F477" t="s">
        <v>27</v>
      </c>
      <c r="G477" t="s">
        <v>28</v>
      </c>
      <c r="H477">
        <v>1</v>
      </c>
      <c r="Q477">
        <v>1</v>
      </c>
      <c r="R477">
        <v>0</v>
      </c>
      <c r="S477">
        <v>1</v>
      </c>
      <c r="T477">
        <v>0</v>
      </c>
      <c r="U477">
        <v>1</v>
      </c>
      <c r="V477">
        <v>0</v>
      </c>
    </row>
    <row r="478" spans="1:26" x14ac:dyDescent="0.25">
      <c r="A478" t="str">
        <f>"474"</f>
        <v>474</v>
      </c>
      <c r="B478" t="str">
        <f t="shared" si="25"/>
        <v>102</v>
      </c>
      <c r="C478" t="str">
        <f t="shared" si="26"/>
        <v>19</v>
      </c>
      <c r="D478" t="str">
        <f>"20"</f>
        <v>20</v>
      </c>
      <c r="E478" t="str">
        <f>"102-19-20"</f>
        <v>102-19-20</v>
      </c>
      <c r="F478" t="s">
        <v>27</v>
      </c>
      <c r="G478" t="s">
        <v>28</v>
      </c>
      <c r="H478">
        <v>1</v>
      </c>
      <c r="Q478">
        <v>0</v>
      </c>
      <c r="R478">
        <v>1</v>
      </c>
      <c r="S478">
        <v>0</v>
      </c>
      <c r="T478">
        <v>1</v>
      </c>
      <c r="U478">
        <v>0</v>
      </c>
      <c r="V478">
        <v>1</v>
      </c>
    </row>
    <row r="479" spans="1:26" x14ac:dyDescent="0.25">
      <c r="A479" t="str">
        <f>"475"</f>
        <v>475</v>
      </c>
      <c r="B479" t="str">
        <f t="shared" si="25"/>
        <v>102</v>
      </c>
      <c r="C479" t="str">
        <f t="shared" si="26"/>
        <v>19</v>
      </c>
      <c r="D479" t="str">
        <f>"3"</f>
        <v>3</v>
      </c>
      <c r="E479" t="str">
        <f>"102-19-3"</f>
        <v>102-19-3</v>
      </c>
      <c r="F479" t="s">
        <v>27</v>
      </c>
      <c r="G479" t="s">
        <v>29</v>
      </c>
      <c r="H479">
        <v>3</v>
      </c>
      <c r="M479">
        <v>1</v>
      </c>
      <c r="N479">
        <v>0</v>
      </c>
      <c r="O479">
        <v>1</v>
      </c>
      <c r="P479">
        <v>1</v>
      </c>
      <c r="Q479">
        <v>1</v>
      </c>
      <c r="R479">
        <v>0</v>
      </c>
      <c r="S479">
        <v>0</v>
      </c>
      <c r="T479">
        <v>1</v>
      </c>
      <c r="U479">
        <v>1</v>
      </c>
      <c r="V479">
        <v>0</v>
      </c>
      <c r="Y479">
        <v>1</v>
      </c>
      <c r="Z479">
        <v>0</v>
      </c>
    </row>
    <row r="480" spans="1:26" x14ac:dyDescent="0.25">
      <c r="A480" t="str">
        <f>"476"</f>
        <v>476</v>
      </c>
      <c r="B480" t="str">
        <f t="shared" si="25"/>
        <v>102</v>
      </c>
      <c r="C480" t="str">
        <f t="shared" ref="C480:C504" si="27">"20"</f>
        <v>20</v>
      </c>
      <c r="D480" t="str">
        <f>"21"</f>
        <v>21</v>
      </c>
      <c r="E480" t="str">
        <f>"102-20-21"</f>
        <v>102-20-21</v>
      </c>
      <c r="F480" t="s">
        <v>27</v>
      </c>
      <c r="G480" t="s">
        <v>28</v>
      </c>
      <c r="H480">
        <v>1</v>
      </c>
      <c r="Q480">
        <v>0</v>
      </c>
      <c r="R480">
        <v>1</v>
      </c>
      <c r="S480">
        <v>0</v>
      </c>
      <c r="T480">
        <v>1</v>
      </c>
      <c r="U480">
        <v>0</v>
      </c>
      <c r="V480">
        <v>1</v>
      </c>
    </row>
    <row r="481" spans="1:22" x14ac:dyDescent="0.25">
      <c r="A481" t="str">
        <f>"477"</f>
        <v>477</v>
      </c>
      <c r="B481" t="str">
        <f t="shared" si="25"/>
        <v>102</v>
      </c>
      <c r="C481" t="str">
        <f t="shared" si="27"/>
        <v>20</v>
      </c>
      <c r="D481" t="str">
        <f>"11"</f>
        <v>11</v>
      </c>
      <c r="E481" t="str">
        <f>"102-20-11"</f>
        <v>102-20-11</v>
      </c>
      <c r="F481" t="s">
        <v>27</v>
      </c>
      <c r="G481" t="s">
        <v>28</v>
      </c>
      <c r="H481">
        <v>1</v>
      </c>
      <c r="Q481">
        <v>1</v>
      </c>
      <c r="R481">
        <v>0</v>
      </c>
      <c r="S481">
        <v>0</v>
      </c>
      <c r="T481">
        <v>1</v>
      </c>
      <c r="U481">
        <v>1</v>
      </c>
      <c r="V481">
        <v>0</v>
      </c>
    </row>
    <row r="482" spans="1:22" x14ac:dyDescent="0.25">
      <c r="A482" t="str">
        <f>"478"</f>
        <v>478</v>
      </c>
      <c r="B482" t="str">
        <f t="shared" si="25"/>
        <v>102</v>
      </c>
      <c r="C482" t="str">
        <f t="shared" si="27"/>
        <v>20</v>
      </c>
      <c r="D482" t="str">
        <f>"1"</f>
        <v>1</v>
      </c>
      <c r="E482" t="str">
        <f>"102-20-1"</f>
        <v>102-20-1</v>
      </c>
      <c r="F482" t="s">
        <v>27</v>
      </c>
      <c r="G482" t="s">
        <v>28</v>
      </c>
      <c r="H482">
        <v>1</v>
      </c>
      <c r="Q482">
        <v>1</v>
      </c>
      <c r="R482">
        <v>0</v>
      </c>
      <c r="S482">
        <v>0</v>
      </c>
      <c r="T482">
        <v>1</v>
      </c>
      <c r="U482">
        <v>0</v>
      </c>
      <c r="V482">
        <v>0</v>
      </c>
    </row>
    <row r="483" spans="1:22" x14ac:dyDescent="0.25">
      <c r="A483" t="str">
        <f>"479"</f>
        <v>479</v>
      </c>
      <c r="B483" t="str">
        <f t="shared" si="25"/>
        <v>102</v>
      </c>
      <c r="C483" t="str">
        <f t="shared" si="27"/>
        <v>20</v>
      </c>
      <c r="D483" t="str">
        <f>"23"</f>
        <v>23</v>
      </c>
      <c r="E483" t="str">
        <f>"102-20-23"</f>
        <v>102-20-23</v>
      </c>
      <c r="F483" t="s">
        <v>27</v>
      </c>
      <c r="G483" t="s">
        <v>28</v>
      </c>
      <c r="H483">
        <v>1</v>
      </c>
      <c r="Q483">
        <v>1</v>
      </c>
      <c r="R483">
        <v>0</v>
      </c>
      <c r="S483">
        <v>1</v>
      </c>
      <c r="T483">
        <v>0</v>
      </c>
      <c r="U483">
        <v>1</v>
      </c>
      <c r="V483">
        <v>0</v>
      </c>
    </row>
    <row r="484" spans="1:22" x14ac:dyDescent="0.25">
      <c r="A484" t="str">
        <f>"480"</f>
        <v>480</v>
      </c>
      <c r="B484" t="str">
        <f t="shared" si="25"/>
        <v>102</v>
      </c>
      <c r="C484" t="str">
        <f t="shared" si="27"/>
        <v>20</v>
      </c>
      <c r="D484" t="str">
        <f>"12"</f>
        <v>12</v>
      </c>
      <c r="E484" t="str">
        <f>"102-20-12"</f>
        <v>102-20-12</v>
      </c>
      <c r="F484" t="s">
        <v>27</v>
      </c>
      <c r="G484" t="s">
        <v>28</v>
      </c>
      <c r="H484">
        <v>1</v>
      </c>
      <c r="Q484">
        <v>0</v>
      </c>
      <c r="R484">
        <v>1</v>
      </c>
      <c r="S484">
        <v>0</v>
      </c>
      <c r="T484">
        <v>1</v>
      </c>
      <c r="U484">
        <v>0</v>
      </c>
      <c r="V484">
        <v>1</v>
      </c>
    </row>
    <row r="485" spans="1:22" x14ac:dyDescent="0.25">
      <c r="A485" t="str">
        <f>"481"</f>
        <v>481</v>
      </c>
      <c r="B485" t="str">
        <f t="shared" si="25"/>
        <v>102</v>
      </c>
      <c r="C485" t="str">
        <f t="shared" si="27"/>
        <v>20</v>
      </c>
      <c r="D485" t="str">
        <f>"2"</f>
        <v>2</v>
      </c>
      <c r="E485" t="str">
        <f>"102-20-2"</f>
        <v>102-20-2</v>
      </c>
      <c r="F485" t="s">
        <v>27</v>
      </c>
      <c r="G485" t="s">
        <v>28</v>
      </c>
      <c r="H485">
        <v>1</v>
      </c>
      <c r="Q485">
        <v>0</v>
      </c>
      <c r="R485">
        <v>1</v>
      </c>
      <c r="S485">
        <v>0</v>
      </c>
      <c r="T485">
        <v>1</v>
      </c>
      <c r="U485">
        <v>0</v>
      </c>
      <c r="V485">
        <v>1</v>
      </c>
    </row>
    <row r="486" spans="1:22" x14ac:dyDescent="0.25">
      <c r="A486" t="str">
        <f>"482"</f>
        <v>482</v>
      </c>
      <c r="B486" t="str">
        <f t="shared" si="25"/>
        <v>102</v>
      </c>
      <c r="C486" t="str">
        <f t="shared" si="27"/>
        <v>20</v>
      </c>
      <c r="D486" t="str">
        <f>"22"</f>
        <v>22</v>
      </c>
      <c r="E486" t="str">
        <f>"102-20-22"</f>
        <v>102-20-22</v>
      </c>
      <c r="F486" t="s">
        <v>27</v>
      </c>
      <c r="G486" t="s">
        <v>28</v>
      </c>
      <c r="H486">
        <v>1</v>
      </c>
      <c r="Q486">
        <v>1</v>
      </c>
      <c r="R486">
        <v>0</v>
      </c>
      <c r="S486">
        <v>0</v>
      </c>
      <c r="T486">
        <v>1</v>
      </c>
      <c r="U486">
        <v>0</v>
      </c>
      <c r="V486">
        <v>1</v>
      </c>
    </row>
    <row r="487" spans="1:22" x14ac:dyDescent="0.25">
      <c r="A487" t="str">
        <f>"483"</f>
        <v>483</v>
      </c>
      <c r="B487" t="str">
        <f t="shared" si="25"/>
        <v>102</v>
      </c>
      <c r="C487" t="str">
        <f t="shared" si="27"/>
        <v>20</v>
      </c>
      <c r="D487" t="str">
        <f>"13"</f>
        <v>13</v>
      </c>
      <c r="E487" t="str">
        <f>"102-20-13"</f>
        <v>102-20-13</v>
      </c>
      <c r="F487" t="s">
        <v>27</v>
      </c>
      <c r="G487" t="s">
        <v>28</v>
      </c>
      <c r="H487">
        <v>1</v>
      </c>
      <c r="Q487">
        <v>0</v>
      </c>
      <c r="R487">
        <v>1</v>
      </c>
      <c r="S487">
        <v>0</v>
      </c>
      <c r="T487">
        <v>1</v>
      </c>
      <c r="U487">
        <v>0</v>
      </c>
      <c r="V487">
        <v>1</v>
      </c>
    </row>
    <row r="488" spans="1:22" x14ac:dyDescent="0.25">
      <c r="A488" t="str">
        <f>"484"</f>
        <v>484</v>
      </c>
      <c r="B488" t="str">
        <f t="shared" si="25"/>
        <v>102</v>
      </c>
      <c r="C488" t="str">
        <f t="shared" si="27"/>
        <v>20</v>
      </c>
      <c r="D488" t="str">
        <f>"4"</f>
        <v>4</v>
      </c>
      <c r="E488" t="str">
        <f>"102-20-4"</f>
        <v>102-20-4</v>
      </c>
      <c r="F488" t="s">
        <v>27</v>
      </c>
      <c r="G488" t="s">
        <v>28</v>
      </c>
      <c r="H488">
        <v>1</v>
      </c>
      <c r="Q488">
        <v>1</v>
      </c>
      <c r="R488">
        <v>0</v>
      </c>
      <c r="S488">
        <v>0</v>
      </c>
      <c r="T488">
        <v>1</v>
      </c>
      <c r="U488">
        <v>1</v>
      </c>
      <c r="V488">
        <v>0</v>
      </c>
    </row>
    <row r="489" spans="1:22" x14ac:dyDescent="0.25">
      <c r="A489" t="str">
        <f>"485"</f>
        <v>485</v>
      </c>
      <c r="B489" t="str">
        <f t="shared" si="25"/>
        <v>102</v>
      </c>
      <c r="C489" t="str">
        <f t="shared" si="27"/>
        <v>20</v>
      </c>
      <c r="D489" t="str">
        <f>"24"</f>
        <v>24</v>
      </c>
      <c r="E489" t="str">
        <f>"102-20-24"</f>
        <v>102-20-24</v>
      </c>
      <c r="F489" t="s">
        <v>27</v>
      </c>
      <c r="G489" t="s">
        <v>28</v>
      </c>
      <c r="H489">
        <v>1</v>
      </c>
      <c r="Q489">
        <v>0</v>
      </c>
      <c r="R489">
        <v>1</v>
      </c>
      <c r="S489">
        <v>0</v>
      </c>
      <c r="T489">
        <v>1</v>
      </c>
      <c r="U489">
        <v>0</v>
      </c>
      <c r="V489">
        <v>1</v>
      </c>
    </row>
    <row r="490" spans="1:22" x14ac:dyDescent="0.25">
      <c r="A490" t="str">
        <f>"486"</f>
        <v>486</v>
      </c>
      <c r="B490" t="str">
        <f t="shared" si="25"/>
        <v>102</v>
      </c>
      <c r="C490" t="str">
        <f t="shared" si="27"/>
        <v>20</v>
      </c>
      <c r="D490" t="str">
        <f>"14"</f>
        <v>14</v>
      </c>
      <c r="E490" t="str">
        <f>"102-20-14"</f>
        <v>102-20-14</v>
      </c>
      <c r="F490" t="s">
        <v>27</v>
      </c>
      <c r="G490" t="s">
        <v>28</v>
      </c>
      <c r="H490">
        <v>1</v>
      </c>
      <c r="Q490">
        <v>0</v>
      </c>
      <c r="R490">
        <v>1</v>
      </c>
      <c r="S490">
        <v>0</v>
      </c>
      <c r="T490">
        <v>1</v>
      </c>
      <c r="U490">
        <v>1</v>
      </c>
      <c r="V490">
        <v>0</v>
      </c>
    </row>
    <row r="491" spans="1:22" x14ac:dyDescent="0.25">
      <c r="A491" t="str">
        <f>"487"</f>
        <v>487</v>
      </c>
      <c r="B491" t="str">
        <f t="shared" si="25"/>
        <v>102</v>
      </c>
      <c r="C491" t="str">
        <f t="shared" si="27"/>
        <v>20</v>
      </c>
      <c r="D491" t="str">
        <f>"7"</f>
        <v>7</v>
      </c>
      <c r="E491" t="str">
        <f>"102-20-7"</f>
        <v>102-20-7</v>
      </c>
      <c r="F491" t="s">
        <v>27</v>
      </c>
      <c r="G491" t="s">
        <v>28</v>
      </c>
      <c r="H491">
        <v>1</v>
      </c>
      <c r="Q491">
        <v>1</v>
      </c>
      <c r="R491">
        <v>0</v>
      </c>
      <c r="S491">
        <v>1</v>
      </c>
      <c r="T491">
        <v>0</v>
      </c>
      <c r="U491">
        <v>1</v>
      </c>
      <c r="V491">
        <v>0</v>
      </c>
    </row>
    <row r="492" spans="1:22" x14ac:dyDescent="0.25">
      <c r="A492" t="str">
        <f>"488"</f>
        <v>488</v>
      </c>
      <c r="B492" t="str">
        <f t="shared" si="25"/>
        <v>102</v>
      </c>
      <c r="C492" t="str">
        <f t="shared" si="27"/>
        <v>20</v>
      </c>
      <c r="D492" t="str">
        <f>"25"</f>
        <v>25</v>
      </c>
      <c r="E492" t="str">
        <f>"102-20-25"</f>
        <v>102-20-25</v>
      </c>
      <c r="F492" t="s">
        <v>27</v>
      </c>
      <c r="G492" t="s">
        <v>28</v>
      </c>
      <c r="H492">
        <v>1</v>
      </c>
      <c r="Q492">
        <v>0</v>
      </c>
      <c r="R492">
        <v>1</v>
      </c>
      <c r="S492">
        <v>0</v>
      </c>
      <c r="T492">
        <v>1</v>
      </c>
      <c r="U492">
        <v>0</v>
      </c>
      <c r="V492">
        <v>1</v>
      </c>
    </row>
    <row r="493" spans="1:22" x14ac:dyDescent="0.25">
      <c r="A493" t="str">
        <f>"489"</f>
        <v>489</v>
      </c>
      <c r="B493" t="str">
        <f t="shared" si="25"/>
        <v>102</v>
      </c>
      <c r="C493" t="str">
        <f t="shared" si="27"/>
        <v>20</v>
      </c>
      <c r="D493" t="str">
        <f>"15"</f>
        <v>15</v>
      </c>
      <c r="E493" t="str">
        <f>"102-20-15"</f>
        <v>102-20-15</v>
      </c>
      <c r="F493" t="s">
        <v>27</v>
      </c>
      <c r="G493" t="s">
        <v>28</v>
      </c>
      <c r="H493">
        <v>1</v>
      </c>
      <c r="Q493">
        <v>1</v>
      </c>
      <c r="R493">
        <v>0</v>
      </c>
      <c r="S493">
        <v>1</v>
      </c>
      <c r="T493">
        <v>0</v>
      </c>
      <c r="U493">
        <v>0</v>
      </c>
      <c r="V493">
        <v>0</v>
      </c>
    </row>
    <row r="494" spans="1:22" x14ac:dyDescent="0.25">
      <c r="A494" t="str">
        <f>"490"</f>
        <v>490</v>
      </c>
      <c r="B494" t="str">
        <f t="shared" si="25"/>
        <v>102</v>
      </c>
      <c r="C494" t="str">
        <f t="shared" si="27"/>
        <v>20</v>
      </c>
      <c r="D494" t="str">
        <f>"6"</f>
        <v>6</v>
      </c>
      <c r="E494" t="str">
        <f>"102-20-6"</f>
        <v>102-20-6</v>
      </c>
      <c r="F494" t="s">
        <v>27</v>
      </c>
      <c r="G494" t="s">
        <v>28</v>
      </c>
      <c r="H494">
        <v>1</v>
      </c>
      <c r="Q494">
        <v>0</v>
      </c>
      <c r="R494">
        <v>0</v>
      </c>
      <c r="S494">
        <v>0</v>
      </c>
      <c r="T494">
        <v>0</v>
      </c>
      <c r="U494">
        <v>1</v>
      </c>
      <c r="V494">
        <v>0</v>
      </c>
    </row>
    <row r="495" spans="1:22" x14ac:dyDescent="0.25">
      <c r="A495" t="str">
        <f>"491"</f>
        <v>491</v>
      </c>
      <c r="B495" t="str">
        <f t="shared" si="25"/>
        <v>102</v>
      </c>
      <c r="C495" t="str">
        <f t="shared" si="27"/>
        <v>20</v>
      </c>
      <c r="D495" t="str">
        <f>"16"</f>
        <v>16</v>
      </c>
      <c r="E495" t="str">
        <f>"102-20-16"</f>
        <v>102-20-16</v>
      </c>
      <c r="F495" t="s">
        <v>27</v>
      </c>
      <c r="G495" t="s">
        <v>28</v>
      </c>
      <c r="H495">
        <v>1</v>
      </c>
      <c r="Q495">
        <v>1</v>
      </c>
      <c r="R495">
        <v>0</v>
      </c>
      <c r="S495">
        <v>1</v>
      </c>
      <c r="T495">
        <v>0</v>
      </c>
      <c r="U495">
        <v>1</v>
      </c>
      <c r="V495">
        <v>0</v>
      </c>
    </row>
    <row r="496" spans="1:22" x14ac:dyDescent="0.25">
      <c r="A496" t="str">
        <f>"492"</f>
        <v>492</v>
      </c>
      <c r="B496" t="str">
        <f t="shared" si="25"/>
        <v>102</v>
      </c>
      <c r="C496" t="str">
        <f t="shared" si="27"/>
        <v>20</v>
      </c>
      <c r="D496" t="str">
        <f>"9"</f>
        <v>9</v>
      </c>
      <c r="E496" t="str">
        <f>"102-20-9"</f>
        <v>102-20-9</v>
      </c>
      <c r="F496" t="s">
        <v>27</v>
      </c>
      <c r="G496" t="s">
        <v>28</v>
      </c>
      <c r="H496">
        <v>1</v>
      </c>
      <c r="Q496">
        <v>0</v>
      </c>
      <c r="R496">
        <v>1</v>
      </c>
      <c r="S496">
        <v>0</v>
      </c>
      <c r="T496">
        <v>1</v>
      </c>
      <c r="U496">
        <v>0</v>
      </c>
      <c r="V496">
        <v>1</v>
      </c>
    </row>
    <row r="497" spans="1:26" x14ac:dyDescent="0.25">
      <c r="A497" t="str">
        <f>"493"</f>
        <v>493</v>
      </c>
      <c r="B497" t="str">
        <f t="shared" si="25"/>
        <v>102</v>
      </c>
      <c r="C497" t="str">
        <f t="shared" si="27"/>
        <v>20</v>
      </c>
      <c r="D497" t="str">
        <f>"17"</f>
        <v>17</v>
      </c>
      <c r="E497" t="str">
        <f>"102-20-17"</f>
        <v>102-20-17</v>
      </c>
      <c r="F497" t="s">
        <v>27</v>
      </c>
      <c r="G497" t="s">
        <v>28</v>
      </c>
      <c r="H497">
        <v>1</v>
      </c>
      <c r="Q497">
        <v>0</v>
      </c>
      <c r="R497">
        <v>1</v>
      </c>
      <c r="S497">
        <v>0</v>
      </c>
      <c r="T497">
        <v>1</v>
      </c>
      <c r="U497">
        <v>0</v>
      </c>
      <c r="V497">
        <v>1</v>
      </c>
    </row>
    <row r="498" spans="1:26" x14ac:dyDescent="0.25">
      <c r="A498" t="str">
        <f>"494"</f>
        <v>494</v>
      </c>
      <c r="B498" t="str">
        <f t="shared" si="25"/>
        <v>102</v>
      </c>
      <c r="C498" t="str">
        <f t="shared" si="27"/>
        <v>20</v>
      </c>
      <c r="D498" t="str">
        <f>"3"</f>
        <v>3</v>
      </c>
      <c r="E498" t="str">
        <f>"102-20-3"</f>
        <v>102-20-3</v>
      </c>
      <c r="F498" t="s">
        <v>27</v>
      </c>
      <c r="G498" t="s">
        <v>28</v>
      </c>
      <c r="H498">
        <v>1</v>
      </c>
      <c r="Q498">
        <v>0</v>
      </c>
      <c r="R498">
        <v>1</v>
      </c>
      <c r="S498">
        <v>0</v>
      </c>
      <c r="T498">
        <v>1</v>
      </c>
      <c r="U498">
        <v>0</v>
      </c>
      <c r="V498">
        <v>1</v>
      </c>
    </row>
    <row r="499" spans="1:26" x14ac:dyDescent="0.25">
      <c r="A499" t="str">
        <f>"495"</f>
        <v>495</v>
      </c>
      <c r="B499" t="str">
        <f t="shared" si="25"/>
        <v>102</v>
      </c>
      <c r="C499" t="str">
        <f t="shared" si="27"/>
        <v>20</v>
      </c>
      <c r="D499" t="str">
        <f>"18"</f>
        <v>18</v>
      </c>
      <c r="E499" t="str">
        <f>"102-20-18"</f>
        <v>102-20-18</v>
      </c>
      <c r="F499" t="s">
        <v>27</v>
      </c>
      <c r="G499" t="s">
        <v>28</v>
      </c>
      <c r="H499">
        <v>1</v>
      </c>
      <c r="Q499">
        <v>1</v>
      </c>
      <c r="R499">
        <v>0</v>
      </c>
      <c r="S499">
        <v>0</v>
      </c>
      <c r="T499">
        <v>1</v>
      </c>
      <c r="U499">
        <v>0</v>
      </c>
      <c r="V499">
        <v>1</v>
      </c>
    </row>
    <row r="500" spans="1:26" x14ac:dyDescent="0.25">
      <c r="A500" t="str">
        <f>"496"</f>
        <v>496</v>
      </c>
      <c r="B500" t="str">
        <f t="shared" si="25"/>
        <v>102</v>
      </c>
      <c r="C500" t="str">
        <f t="shared" si="27"/>
        <v>20</v>
      </c>
      <c r="D500" t="str">
        <f>"10"</f>
        <v>10</v>
      </c>
      <c r="E500" t="str">
        <f>"102-20-10"</f>
        <v>102-20-10</v>
      </c>
      <c r="F500" t="s">
        <v>27</v>
      </c>
      <c r="G500" t="s">
        <v>28</v>
      </c>
      <c r="H500">
        <v>1</v>
      </c>
      <c r="Q500">
        <v>1</v>
      </c>
      <c r="R500">
        <v>0</v>
      </c>
      <c r="S500">
        <v>1</v>
      </c>
      <c r="T500">
        <v>0</v>
      </c>
      <c r="U500">
        <v>0</v>
      </c>
      <c r="V500">
        <v>1</v>
      </c>
    </row>
    <row r="501" spans="1:26" x14ac:dyDescent="0.25">
      <c r="A501" t="str">
        <f>"497"</f>
        <v>497</v>
      </c>
      <c r="B501" t="str">
        <f t="shared" si="25"/>
        <v>102</v>
      </c>
      <c r="C501" t="str">
        <f t="shared" si="27"/>
        <v>20</v>
      </c>
      <c r="D501" t="str">
        <f>"19"</f>
        <v>19</v>
      </c>
      <c r="E501" t="str">
        <f>"102-20-19"</f>
        <v>102-20-19</v>
      </c>
      <c r="F501" t="s">
        <v>27</v>
      </c>
      <c r="G501" t="s">
        <v>28</v>
      </c>
      <c r="H501">
        <v>1</v>
      </c>
      <c r="Q501">
        <v>1</v>
      </c>
      <c r="R501">
        <v>0</v>
      </c>
      <c r="S501">
        <v>1</v>
      </c>
      <c r="T501">
        <v>0</v>
      </c>
      <c r="U501">
        <v>1</v>
      </c>
      <c r="V501">
        <v>0</v>
      </c>
    </row>
    <row r="502" spans="1:26" x14ac:dyDescent="0.25">
      <c r="A502" t="str">
        <f>"498"</f>
        <v>498</v>
      </c>
      <c r="B502" t="str">
        <f t="shared" si="25"/>
        <v>102</v>
      </c>
      <c r="C502" t="str">
        <f t="shared" si="27"/>
        <v>20</v>
      </c>
      <c r="D502" t="str">
        <f>"5"</f>
        <v>5</v>
      </c>
      <c r="E502" t="str">
        <f>"102-20-5"</f>
        <v>102-20-5</v>
      </c>
      <c r="F502" t="s">
        <v>27</v>
      </c>
      <c r="G502" t="s">
        <v>28</v>
      </c>
      <c r="H502">
        <v>1</v>
      </c>
      <c r="Q502">
        <v>1</v>
      </c>
      <c r="R502">
        <v>0</v>
      </c>
      <c r="S502">
        <v>0</v>
      </c>
      <c r="T502">
        <v>1</v>
      </c>
      <c r="U502">
        <v>1</v>
      </c>
      <c r="V502">
        <v>0</v>
      </c>
    </row>
    <row r="503" spans="1:26" x14ac:dyDescent="0.25">
      <c r="A503" t="str">
        <f>"499"</f>
        <v>499</v>
      </c>
      <c r="B503" t="str">
        <f t="shared" si="25"/>
        <v>102</v>
      </c>
      <c r="C503" t="str">
        <f t="shared" si="27"/>
        <v>20</v>
      </c>
      <c r="D503" t="str">
        <f>"20"</f>
        <v>20</v>
      </c>
      <c r="E503" t="str">
        <f>"102-20-20"</f>
        <v>102-20-20</v>
      </c>
      <c r="F503" t="s">
        <v>27</v>
      </c>
      <c r="G503" t="s">
        <v>28</v>
      </c>
      <c r="H503">
        <v>1</v>
      </c>
      <c r="Q503">
        <v>1</v>
      </c>
      <c r="R503">
        <v>0</v>
      </c>
      <c r="S503">
        <v>0</v>
      </c>
      <c r="T503">
        <v>1</v>
      </c>
      <c r="U503">
        <v>0</v>
      </c>
      <c r="V503">
        <v>1</v>
      </c>
    </row>
    <row r="504" spans="1:26" x14ac:dyDescent="0.25">
      <c r="A504" t="str">
        <f>"500"</f>
        <v>500</v>
      </c>
      <c r="B504" t="str">
        <f t="shared" si="25"/>
        <v>102</v>
      </c>
      <c r="C504" t="str">
        <f t="shared" si="27"/>
        <v>20</v>
      </c>
      <c r="D504" t="str">
        <f>"8"</f>
        <v>8</v>
      </c>
      <c r="E504" t="str">
        <f>"102-20-8"</f>
        <v>102-20-8</v>
      </c>
      <c r="F504" t="s">
        <v>27</v>
      </c>
      <c r="G504" t="s">
        <v>29</v>
      </c>
      <c r="H504">
        <v>3</v>
      </c>
      <c r="M504">
        <v>1</v>
      </c>
      <c r="N504">
        <v>1</v>
      </c>
      <c r="O504">
        <v>1</v>
      </c>
      <c r="P504">
        <v>0</v>
      </c>
      <c r="Q504">
        <v>0</v>
      </c>
      <c r="R504">
        <v>1</v>
      </c>
      <c r="S504">
        <v>0</v>
      </c>
      <c r="T504">
        <v>1</v>
      </c>
      <c r="U504">
        <v>0</v>
      </c>
      <c r="V504">
        <v>1</v>
      </c>
      <c r="Y504">
        <v>0</v>
      </c>
      <c r="Z504">
        <v>1</v>
      </c>
    </row>
    <row r="505" spans="1:26" x14ac:dyDescent="0.25">
      <c r="A505" t="str">
        <f>"501"</f>
        <v>501</v>
      </c>
      <c r="B505" t="str">
        <f t="shared" si="25"/>
        <v>102</v>
      </c>
      <c r="C505" t="str">
        <f t="shared" ref="C505:C529" si="28">"21"</f>
        <v>21</v>
      </c>
      <c r="D505" t="str">
        <f>"24"</f>
        <v>24</v>
      </c>
      <c r="E505" t="str">
        <f>"102-21-24"</f>
        <v>102-21-24</v>
      </c>
      <c r="F505" t="s">
        <v>27</v>
      </c>
      <c r="G505" t="s">
        <v>28</v>
      </c>
      <c r="H505">
        <v>1</v>
      </c>
      <c r="Q505">
        <v>0</v>
      </c>
      <c r="R505">
        <v>1</v>
      </c>
      <c r="S505">
        <v>0</v>
      </c>
      <c r="T505">
        <v>1</v>
      </c>
      <c r="U505">
        <v>1</v>
      </c>
      <c r="V505">
        <v>0</v>
      </c>
    </row>
    <row r="506" spans="1:26" x14ac:dyDescent="0.25">
      <c r="A506" t="str">
        <f>"502"</f>
        <v>502</v>
      </c>
      <c r="B506" t="str">
        <f t="shared" si="25"/>
        <v>102</v>
      </c>
      <c r="C506" t="str">
        <f t="shared" si="28"/>
        <v>21</v>
      </c>
      <c r="D506" t="str">
        <f>"11"</f>
        <v>11</v>
      </c>
      <c r="E506" t="str">
        <f>"102-21-11"</f>
        <v>102-21-11</v>
      </c>
      <c r="F506" t="s">
        <v>27</v>
      </c>
      <c r="G506" t="s">
        <v>28</v>
      </c>
      <c r="H506">
        <v>1</v>
      </c>
      <c r="Q506">
        <v>0</v>
      </c>
      <c r="R506">
        <v>1</v>
      </c>
      <c r="S506">
        <v>0</v>
      </c>
      <c r="T506">
        <v>1</v>
      </c>
      <c r="U506">
        <v>1</v>
      </c>
      <c r="V506">
        <v>0</v>
      </c>
    </row>
    <row r="507" spans="1:26" x14ac:dyDescent="0.25">
      <c r="A507" t="str">
        <f>"503"</f>
        <v>503</v>
      </c>
      <c r="B507" t="str">
        <f t="shared" si="25"/>
        <v>102</v>
      </c>
      <c r="C507" t="str">
        <f t="shared" si="28"/>
        <v>21</v>
      </c>
      <c r="D507" t="str">
        <f>"1"</f>
        <v>1</v>
      </c>
      <c r="E507" t="str">
        <f>"102-21-1"</f>
        <v>102-21-1</v>
      </c>
      <c r="F507" t="s">
        <v>27</v>
      </c>
      <c r="G507" t="s">
        <v>28</v>
      </c>
      <c r="H507">
        <v>1</v>
      </c>
      <c r="Q507">
        <v>0</v>
      </c>
      <c r="R507">
        <v>1</v>
      </c>
      <c r="S507">
        <v>0</v>
      </c>
      <c r="T507">
        <v>1</v>
      </c>
      <c r="U507">
        <v>0</v>
      </c>
      <c r="V507">
        <v>1</v>
      </c>
    </row>
    <row r="508" spans="1:26" x14ac:dyDescent="0.25">
      <c r="A508" t="str">
        <f>"504"</f>
        <v>504</v>
      </c>
      <c r="B508" t="str">
        <f t="shared" si="25"/>
        <v>102</v>
      </c>
      <c r="C508" t="str">
        <f t="shared" si="28"/>
        <v>21</v>
      </c>
      <c r="D508" t="str">
        <f>"23"</f>
        <v>23</v>
      </c>
      <c r="E508" t="str">
        <f>"102-21-23"</f>
        <v>102-21-23</v>
      </c>
      <c r="F508" t="s">
        <v>27</v>
      </c>
      <c r="G508" t="s">
        <v>28</v>
      </c>
      <c r="H508">
        <v>1</v>
      </c>
      <c r="Q508">
        <v>0</v>
      </c>
      <c r="R508">
        <v>1</v>
      </c>
      <c r="S508">
        <v>1</v>
      </c>
      <c r="T508">
        <v>0</v>
      </c>
      <c r="U508">
        <v>1</v>
      </c>
      <c r="V508">
        <v>0</v>
      </c>
    </row>
    <row r="509" spans="1:26" x14ac:dyDescent="0.25">
      <c r="A509" t="str">
        <f>"505"</f>
        <v>505</v>
      </c>
      <c r="B509" t="str">
        <f t="shared" si="25"/>
        <v>102</v>
      </c>
      <c r="C509" t="str">
        <f t="shared" si="28"/>
        <v>21</v>
      </c>
      <c r="D509" t="str">
        <f>"12"</f>
        <v>12</v>
      </c>
      <c r="E509" t="str">
        <f>"102-21-12"</f>
        <v>102-21-12</v>
      </c>
      <c r="F509" t="s">
        <v>27</v>
      </c>
      <c r="G509" t="s">
        <v>28</v>
      </c>
      <c r="H509">
        <v>1</v>
      </c>
      <c r="Q509">
        <v>1</v>
      </c>
      <c r="R509">
        <v>0</v>
      </c>
      <c r="S509">
        <v>0</v>
      </c>
      <c r="T509">
        <v>1</v>
      </c>
      <c r="U509">
        <v>0</v>
      </c>
      <c r="V509">
        <v>1</v>
      </c>
    </row>
    <row r="510" spans="1:26" x14ac:dyDescent="0.25">
      <c r="A510" t="str">
        <f>"506"</f>
        <v>506</v>
      </c>
      <c r="B510" t="str">
        <f t="shared" si="25"/>
        <v>102</v>
      </c>
      <c r="C510" t="str">
        <f t="shared" si="28"/>
        <v>21</v>
      </c>
      <c r="D510" t="str">
        <f>"6"</f>
        <v>6</v>
      </c>
      <c r="E510" t="str">
        <f>"102-21-6"</f>
        <v>102-21-6</v>
      </c>
      <c r="F510" t="s">
        <v>27</v>
      </c>
      <c r="G510" t="s">
        <v>28</v>
      </c>
      <c r="H510">
        <v>1</v>
      </c>
      <c r="Q510">
        <v>1</v>
      </c>
      <c r="R510">
        <v>0</v>
      </c>
      <c r="S510">
        <v>1</v>
      </c>
      <c r="T510">
        <v>0</v>
      </c>
      <c r="U510">
        <v>1</v>
      </c>
      <c r="V510">
        <v>0</v>
      </c>
    </row>
    <row r="511" spans="1:26" x14ac:dyDescent="0.25">
      <c r="A511" t="str">
        <f>"507"</f>
        <v>507</v>
      </c>
      <c r="B511" t="str">
        <f t="shared" si="25"/>
        <v>102</v>
      </c>
      <c r="C511" t="str">
        <f t="shared" si="28"/>
        <v>21</v>
      </c>
      <c r="D511" t="str">
        <f>"21"</f>
        <v>21</v>
      </c>
      <c r="E511" t="str">
        <f>"102-21-21"</f>
        <v>102-21-21</v>
      </c>
      <c r="F511" t="s">
        <v>27</v>
      </c>
      <c r="G511" t="s">
        <v>28</v>
      </c>
      <c r="H511">
        <v>1</v>
      </c>
      <c r="Q511">
        <v>1</v>
      </c>
      <c r="R511">
        <v>0</v>
      </c>
      <c r="S511">
        <v>0</v>
      </c>
      <c r="T511">
        <v>1</v>
      </c>
      <c r="U511">
        <v>0</v>
      </c>
      <c r="V511">
        <v>1</v>
      </c>
    </row>
    <row r="512" spans="1:26" x14ac:dyDescent="0.25">
      <c r="A512" t="str">
        <f>"508"</f>
        <v>508</v>
      </c>
      <c r="B512" t="str">
        <f t="shared" si="25"/>
        <v>102</v>
      </c>
      <c r="C512" t="str">
        <f t="shared" si="28"/>
        <v>21</v>
      </c>
      <c r="D512" t="str">
        <f>"13"</f>
        <v>13</v>
      </c>
      <c r="E512" t="str">
        <f>"102-21-13"</f>
        <v>102-21-13</v>
      </c>
      <c r="F512" t="s">
        <v>27</v>
      </c>
      <c r="G512" t="s">
        <v>28</v>
      </c>
      <c r="H512">
        <v>1</v>
      </c>
      <c r="Q512">
        <v>1</v>
      </c>
      <c r="R512">
        <v>0</v>
      </c>
      <c r="S512">
        <v>1</v>
      </c>
      <c r="T512">
        <v>0</v>
      </c>
      <c r="U512">
        <v>1</v>
      </c>
      <c r="V512">
        <v>0</v>
      </c>
    </row>
    <row r="513" spans="1:22" x14ac:dyDescent="0.25">
      <c r="A513" t="str">
        <f>"509"</f>
        <v>509</v>
      </c>
      <c r="B513" t="str">
        <f t="shared" si="25"/>
        <v>102</v>
      </c>
      <c r="C513" t="str">
        <f t="shared" si="28"/>
        <v>21</v>
      </c>
      <c r="D513" t="str">
        <f>"5"</f>
        <v>5</v>
      </c>
      <c r="E513" t="str">
        <f>"102-21-5"</f>
        <v>102-21-5</v>
      </c>
      <c r="F513" t="s">
        <v>27</v>
      </c>
      <c r="G513" t="s">
        <v>28</v>
      </c>
      <c r="H513">
        <v>1</v>
      </c>
      <c r="Q513">
        <v>1</v>
      </c>
      <c r="R513">
        <v>0</v>
      </c>
      <c r="S513">
        <v>1</v>
      </c>
      <c r="T513">
        <v>0</v>
      </c>
      <c r="U513">
        <v>1</v>
      </c>
      <c r="V513">
        <v>0</v>
      </c>
    </row>
    <row r="514" spans="1:22" x14ac:dyDescent="0.25">
      <c r="A514" t="str">
        <f>"510"</f>
        <v>510</v>
      </c>
      <c r="B514" t="str">
        <f t="shared" si="25"/>
        <v>102</v>
      </c>
      <c r="C514" t="str">
        <f t="shared" si="28"/>
        <v>21</v>
      </c>
      <c r="D514" t="str">
        <f>"22"</f>
        <v>22</v>
      </c>
      <c r="E514" t="str">
        <f>"102-21-22"</f>
        <v>102-21-22</v>
      </c>
      <c r="F514" t="s">
        <v>27</v>
      </c>
      <c r="G514" t="s">
        <v>28</v>
      </c>
      <c r="H514">
        <v>1</v>
      </c>
      <c r="Q514">
        <v>0</v>
      </c>
      <c r="R514">
        <v>1</v>
      </c>
      <c r="S514">
        <v>0</v>
      </c>
      <c r="T514">
        <v>1</v>
      </c>
      <c r="U514">
        <v>1</v>
      </c>
      <c r="V514">
        <v>0</v>
      </c>
    </row>
    <row r="515" spans="1:22" x14ac:dyDescent="0.25">
      <c r="A515" t="str">
        <f>"511"</f>
        <v>511</v>
      </c>
      <c r="B515" t="str">
        <f t="shared" si="25"/>
        <v>102</v>
      </c>
      <c r="C515" t="str">
        <f t="shared" si="28"/>
        <v>21</v>
      </c>
      <c r="D515" t="str">
        <f>"14"</f>
        <v>14</v>
      </c>
      <c r="E515" t="str">
        <f>"102-21-14"</f>
        <v>102-21-14</v>
      </c>
      <c r="F515" t="s">
        <v>27</v>
      </c>
      <c r="G515" t="s">
        <v>28</v>
      </c>
      <c r="H515">
        <v>1</v>
      </c>
      <c r="Q515">
        <v>1</v>
      </c>
      <c r="R515">
        <v>0</v>
      </c>
      <c r="S515">
        <v>1</v>
      </c>
      <c r="T515">
        <v>0</v>
      </c>
      <c r="U515">
        <v>1</v>
      </c>
      <c r="V515">
        <v>0</v>
      </c>
    </row>
    <row r="516" spans="1:22" x14ac:dyDescent="0.25">
      <c r="A516" t="str">
        <f>"512"</f>
        <v>512</v>
      </c>
      <c r="B516" t="str">
        <f t="shared" si="25"/>
        <v>102</v>
      </c>
      <c r="C516" t="str">
        <f t="shared" si="28"/>
        <v>21</v>
      </c>
      <c r="D516" t="str">
        <f>"3"</f>
        <v>3</v>
      </c>
      <c r="E516" t="str">
        <f>"102-21-3"</f>
        <v>102-21-3</v>
      </c>
      <c r="F516" t="s">
        <v>27</v>
      </c>
      <c r="G516" t="s">
        <v>28</v>
      </c>
      <c r="H516">
        <v>1</v>
      </c>
      <c r="Q516">
        <v>0</v>
      </c>
      <c r="R516">
        <v>1</v>
      </c>
      <c r="S516">
        <v>0</v>
      </c>
      <c r="T516">
        <v>1</v>
      </c>
      <c r="U516">
        <v>0</v>
      </c>
      <c r="V516">
        <v>1</v>
      </c>
    </row>
    <row r="517" spans="1:22" x14ac:dyDescent="0.25">
      <c r="A517" t="str">
        <f>"513"</f>
        <v>513</v>
      </c>
      <c r="B517" t="str">
        <f t="shared" ref="B517:B580" si="29">"102"</f>
        <v>102</v>
      </c>
      <c r="C517" t="str">
        <f t="shared" si="28"/>
        <v>21</v>
      </c>
      <c r="D517" t="str">
        <f>"15"</f>
        <v>15</v>
      </c>
      <c r="E517" t="str">
        <f>"102-21-15"</f>
        <v>102-21-15</v>
      </c>
      <c r="F517" t="s">
        <v>27</v>
      </c>
      <c r="G517" t="s">
        <v>28</v>
      </c>
      <c r="H517">
        <v>1</v>
      </c>
      <c r="Q517">
        <v>1</v>
      </c>
      <c r="R517">
        <v>0</v>
      </c>
      <c r="S517">
        <v>0</v>
      </c>
      <c r="T517">
        <v>1</v>
      </c>
      <c r="U517">
        <v>1</v>
      </c>
      <c r="V517">
        <v>0</v>
      </c>
    </row>
    <row r="518" spans="1:22" x14ac:dyDescent="0.25">
      <c r="A518" t="str">
        <f>"514"</f>
        <v>514</v>
      </c>
      <c r="B518" t="str">
        <f t="shared" si="29"/>
        <v>102</v>
      </c>
      <c r="C518" t="str">
        <f t="shared" si="28"/>
        <v>21</v>
      </c>
      <c r="D518" t="str">
        <f>"4"</f>
        <v>4</v>
      </c>
      <c r="E518" t="str">
        <f>"102-21-4"</f>
        <v>102-21-4</v>
      </c>
      <c r="F518" t="s">
        <v>27</v>
      </c>
      <c r="G518" t="s">
        <v>28</v>
      </c>
      <c r="H518">
        <v>1</v>
      </c>
      <c r="Q518">
        <v>0</v>
      </c>
      <c r="R518">
        <v>1</v>
      </c>
      <c r="S518">
        <v>0</v>
      </c>
      <c r="T518">
        <v>1</v>
      </c>
      <c r="U518">
        <v>0</v>
      </c>
      <c r="V518">
        <v>1</v>
      </c>
    </row>
    <row r="519" spans="1:22" x14ac:dyDescent="0.25">
      <c r="A519" t="str">
        <f>"515"</f>
        <v>515</v>
      </c>
      <c r="B519" t="str">
        <f t="shared" si="29"/>
        <v>102</v>
      </c>
      <c r="C519" t="str">
        <f t="shared" si="28"/>
        <v>21</v>
      </c>
      <c r="D519" t="str">
        <f>"16"</f>
        <v>16</v>
      </c>
      <c r="E519" t="str">
        <f>"102-21-16"</f>
        <v>102-21-16</v>
      </c>
      <c r="F519" t="s">
        <v>27</v>
      </c>
      <c r="G519" t="s">
        <v>28</v>
      </c>
      <c r="H519">
        <v>1</v>
      </c>
      <c r="Q519">
        <v>1</v>
      </c>
      <c r="R519">
        <v>0</v>
      </c>
      <c r="S519">
        <v>1</v>
      </c>
      <c r="T519">
        <v>0</v>
      </c>
      <c r="U519">
        <v>1</v>
      </c>
      <c r="V519">
        <v>0</v>
      </c>
    </row>
    <row r="520" spans="1:22" x14ac:dyDescent="0.25">
      <c r="A520" t="str">
        <f>"516"</f>
        <v>516</v>
      </c>
      <c r="B520" t="str">
        <f t="shared" si="29"/>
        <v>102</v>
      </c>
      <c r="C520" t="str">
        <f t="shared" si="28"/>
        <v>21</v>
      </c>
      <c r="D520" t="str">
        <f>"2"</f>
        <v>2</v>
      </c>
      <c r="E520" t="str">
        <f>"102-21-2"</f>
        <v>102-21-2</v>
      </c>
      <c r="F520" t="s">
        <v>27</v>
      </c>
      <c r="G520" t="s">
        <v>28</v>
      </c>
      <c r="H520">
        <v>1</v>
      </c>
      <c r="Q520">
        <v>0</v>
      </c>
      <c r="R520">
        <v>1</v>
      </c>
      <c r="S520">
        <v>1</v>
      </c>
      <c r="T520">
        <v>0</v>
      </c>
      <c r="U520">
        <v>0</v>
      </c>
      <c r="V520">
        <v>1</v>
      </c>
    </row>
    <row r="521" spans="1:22" x14ac:dyDescent="0.25">
      <c r="A521" t="str">
        <f>"517"</f>
        <v>517</v>
      </c>
      <c r="B521" t="str">
        <f t="shared" si="29"/>
        <v>102</v>
      </c>
      <c r="C521" t="str">
        <f t="shared" si="28"/>
        <v>21</v>
      </c>
      <c r="D521" t="str">
        <f>"17"</f>
        <v>17</v>
      </c>
      <c r="E521" t="str">
        <f>"102-21-17"</f>
        <v>102-21-17</v>
      </c>
      <c r="F521" t="s">
        <v>27</v>
      </c>
      <c r="G521" t="s">
        <v>28</v>
      </c>
      <c r="H521">
        <v>1</v>
      </c>
      <c r="Q521">
        <v>1</v>
      </c>
      <c r="R521">
        <v>0</v>
      </c>
      <c r="S521">
        <v>0</v>
      </c>
      <c r="T521">
        <v>1</v>
      </c>
      <c r="U521">
        <v>1</v>
      </c>
      <c r="V521">
        <v>0</v>
      </c>
    </row>
    <row r="522" spans="1:22" x14ac:dyDescent="0.25">
      <c r="A522" t="str">
        <f>"518"</f>
        <v>518</v>
      </c>
      <c r="B522" t="str">
        <f t="shared" si="29"/>
        <v>102</v>
      </c>
      <c r="C522" t="str">
        <f t="shared" si="28"/>
        <v>21</v>
      </c>
      <c r="D522" t="str">
        <f>"7"</f>
        <v>7</v>
      </c>
      <c r="E522" t="str">
        <f>"102-21-7"</f>
        <v>102-21-7</v>
      </c>
      <c r="F522" t="s">
        <v>27</v>
      </c>
      <c r="G522" t="s">
        <v>28</v>
      </c>
      <c r="H522">
        <v>1</v>
      </c>
      <c r="Q522">
        <v>0</v>
      </c>
      <c r="R522">
        <v>1</v>
      </c>
      <c r="S522">
        <v>0</v>
      </c>
      <c r="T522">
        <v>1</v>
      </c>
      <c r="U522">
        <v>0</v>
      </c>
      <c r="V522">
        <v>1</v>
      </c>
    </row>
    <row r="523" spans="1:22" x14ac:dyDescent="0.25">
      <c r="A523" t="str">
        <f>"519"</f>
        <v>519</v>
      </c>
      <c r="B523" t="str">
        <f t="shared" si="29"/>
        <v>102</v>
      </c>
      <c r="C523" t="str">
        <f t="shared" si="28"/>
        <v>21</v>
      </c>
      <c r="D523" t="str">
        <f>"25"</f>
        <v>25</v>
      </c>
      <c r="E523" t="str">
        <f>"102-21-25"</f>
        <v>102-21-25</v>
      </c>
      <c r="F523" t="s">
        <v>27</v>
      </c>
      <c r="G523" t="s">
        <v>28</v>
      </c>
      <c r="H523">
        <v>1</v>
      </c>
      <c r="Q523">
        <v>0</v>
      </c>
      <c r="R523">
        <v>1</v>
      </c>
      <c r="S523">
        <v>0</v>
      </c>
      <c r="T523">
        <v>1</v>
      </c>
      <c r="U523">
        <v>0</v>
      </c>
      <c r="V523">
        <v>1</v>
      </c>
    </row>
    <row r="524" spans="1:22" x14ac:dyDescent="0.25">
      <c r="A524" t="str">
        <f>"520"</f>
        <v>520</v>
      </c>
      <c r="B524" t="str">
        <f t="shared" si="29"/>
        <v>102</v>
      </c>
      <c r="C524" t="str">
        <f t="shared" si="28"/>
        <v>21</v>
      </c>
      <c r="D524" t="str">
        <f>"18"</f>
        <v>18</v>
      </c>
      <c r="E524" t="str">
        <f>"102-21-18"</f>
        <v>102-21-18</v>
      </c>
      <c r="F524" t="s">
        <v>27</v>
      </c>
      <c r="G524" t="s">
        <v>28</v>
      </c>
      <c r="H524">
        <v>1</v>
      </c>
      <c r="Q524">
        <v>1</v>
      </c>
      <c r="R524">
        <v>0</v>
      </c>
      <c r="S524">
        <v>0</v>
      </c>
      <c r="T524">
        <v>1</v>
      </c>
      <c r="U524">
        <v>1</v>
      </c>
      <c r="V524">
        <v>0</v>
      </c>
    </row>
    <row r="525" spans="1:22" x14ac:dyDescent="0.25">
      <c r="A525" t="str">
        <f>"521"</f>
        <v>521</v>
      </c>
      <c r="B525" t="str">
        <f t="shared" si="29"/>
        <v>102</v>
      </c>
      <c r="C525" t="str">
        <f t="shared" si="28"/>
        <v>21</v>
      </c>
      <c r="D525" t="str">
        <f>"10"</f>
        <v>10</v>
      </c>
      <c r="E525" t="str">
        <f>"102-21-10"</f>
        <v>102-21-10</v>
      </c>
      <c r="F525" t="s">
        <v>27</v>
      </c>
      <c r="G525" t="s">
        <v>28</v>
      </c>
      <c r="H525">
        <v>1</v>
      </c>
      <c r="Q525">
        <v>1</v>
      </c>
      <c r="R525">
        <v>0</v>
      </c>
      <c r="S525">
        <v>1</v>
      </c>
      <c r="T525">
        <v>0</v>
      </c>
      <c r="U525">
        <v>1</v>
      </c>
      <c r="V525">
        <v>0</v>
      </c>
    </row>
    <row r="526" spans="1:22" x14ac:dyDescent="0.25">
      <c r="A526" t="str">
        <f>"522"</f>
        <v>522</v>
      </c>
      <c r="B526" t="str">
        <f t="shared" si="29"/>
        <v>102</v>
      </c>
      <c r="C526" t="str">
        <f t="shared" si="28"/>
        <v>21</v>
      </c>
      <c r="D526" t="str">
        <f>"19"</f>
        <v>19</v>
      </c>
      <c r="E526" t="str">
        <f>"102-21-19"</f>
        <v>102-21-19</v>
      </c>
      <c r="F526" t="s">
        <v>27</v>
      </c>
      <c r="G526" t="s">
        <v>28</v>
      </c>
      <c r="H526">
        <v>1</v>
      </c>
      <c r="Q526">
        <v>1</v>
      </c>
      <c r="R526">
        <v>0</v>
      </c>
      <c r="S526">
        <v>0</v>
      </c>
      <c r="T526">
        <v>1</v>
      </c>
      <c r="U526">
        <v>1</v>
      </c>
      <c r="V526">
        <v>0</v>
      </c>
    </row>
    <row r="527" spans="1:22" x14ac:dyDescent="0.25">
      <c r="A527" t="str">
        <f>"523"</f>
        <v>523</v>
      </c>
      <c r="B527" t="str">
        <f t="shared" si="29"/>
        <v>102</v>
      </c>
      <c r="C527" t="str">
        <f t="shared" si="28"/>
        <v>21</v>
      </c>
      <c r="D527" t="str">
        <f>"9"</f>
        <v>9</v>
      </c>
      <c r="E527" t="str">
        <f>"102-21-9"</f>
        <v>102-21-9</v>
      </c>
      <c r="F527" t="s">
        <v>27</v>
      </c>
      <c r="G527" t="s">
        <v>28</v>
      </c>
      <c r="H527">
        <v>1</v>
      </c>
      <c r="Q527">
        <v>1</v>
      </c>
      <c r="R527">
        <v>0</v>
      </c>
      <c r="S527">
        <v>1</v>
      </c>
      <c r="T527">
        <v>0</v>
      </c>
      <c r="U527">
        <v>1</v>
      </c>
      <c r="V527">
        <v>0</v>
      </c>
    </row>
    <row r="528" spans="1:22" x14ac:dyDescent="0.25">
      <c r="A528" t="str">
        <f>"524"</f>
        <v>524</v>
      </c>
      <c r="B528" t="str">
        <f t="shared" si="29"/>
        <v>102</v>
      </c>
      <c r="C528" t="str">
        <f t="shared" si="28"/>
        <v>21</v>
      </c>
      <c r="D528" t="str">
        <f>"20"</f>
        <v>20</v>
      </c>
      <c r="E528" t="str">
        <f>"102-21-20"</f>
        <v>102-21-20</v>
      </c>
      <c r="F528" t="s">
        <v>27</v>
      </c>
      <c r="G528" t="s">
        <v>28</v>
      </c>
      <c r="H528">
        <v>1</v>
      </c>
      <c r="Q528">
        <v>1</v>
      </c>
      <c r="R528">
        <v>0</v>
      </c>
      <c r="S528">
        <v>1</v>
      </c>
      <c r="T528">
        <v>0</v>
      </c>
      <c r="U528">
        <v>1</v>
      </c>
      <c r="V528">
        <v>0</v>
      </c>
    </row>
    <row r="529" spans="1:26" x14ac:dyDescent="0.25">
      <c r="A529" t="str">
        <f>"525"</f>
        <v>525</v>
      </c>
      <c r="B529" t="str">
        <f t="shared" si="29"/>
        <v>102</v>
      </c>
      <c r="C529" t="str">
        <f t="shared" si="28"/>
        <v>21</v>
      </c>
      <c r="D529" t="str">
        <f>"8"</f>
        <v>8</v>
      </c>
      <c r="E529" t="str">
        <f>"102-21-8"</f>
        <v>102-21-8</v>
      </c>
      <c r="F529" t="s">
        <v>27</v>
      </c>
      <c r="G529" t="s">
        <v>28</v>
      </c>
      <c r="H529">
        <v>1</v>
      </c>
      <c r="Q529">
        <v>0</v>
      </c>
      <c r="R529">
        <v>1</v>
      </c>
      <c r="S529">
        <v>0</v>
      </c>
      <c r="T529">
        <v>1</v>
      </c>
      <c r="U529">
        <v>1</v>
      </c>
      <c r="V529">
        <v>0</v>
      </c>
    </row>
    <row r="530" spans="1:26" x14ac:dyDescent="0.25">
      <c r="A530" t="str">
        <f>"526"</f>
        <v>526</v>
      </c>
      <c r="B530" t="str">
        <f t="shared" si="29"/>
        <v>102</v>
      </c>
      <c r="C530" t="str">
        <f t="shared" ref="C530:C554" si="30">"22"</f>
        <v>22</v>
      </c>
      <c r="D530" t="str">
        <f>"25"</f>
        <v>25</v>
      </c>
      <c r="E530" t="str">
        <f>"102-22-25"</f>
        <v>102-22-25</v>
      </c>
      <c r="F530" t="s">
        <v>27</v>
      </c>
      <c r="G530" t="s">
        <v>28</v>
      </c>
      <c r="H530">
        <v>1</v>
      </c>
      <c r="Q530">
        <v>0</v>
      </c>
      <c r="R530">
        <v>1</v>
      </c>
      <c r="S530">
        <v>0</v>
      </c>
      <c r="T530">
        <v>1</v>
      </c>
      <c r="U530">
        <v>0</v>
      </c>
      <c r="V530">
        <v>0</v>
      </c>
    </row>
    <row r="531" spans="1:26" x14ac:dyDescent="0.25">
      <c r="A531" t="str">
        <f>"527"</f>
        <v>527</v>
      </c>
      <c r="B531" t="str">
        <f t="shared" si="29"/>
        <v>102</v>
      </c>
      <c r="C531" t="str">
        <f t="shared" si="30"/>
        <v>22</v>
      </c>
      <c r="D531" t="str">
        <f>"21"</f>
        <v>21</v>
      </c>
      <c r="E531" t="str">
        <f>"102-22-21"</f>
        <v>102-22-21</v>
      </c>
      <c r="F531" t="s">
        <v>27</v>
      </c>
      <c r="G531" t="s">
        <v>28</v>
      </c>
      <c r="H531">
        <v>1</v>
      </c>
      <c r="Q531">
        <v>0</v>
      </c>
      <c r="R531">
        <v>1</v>
      </c>
      <c r="S531">
        <v>0</v>
      </c>
      <c r="T531">
        <v>1</v>
      </c>
      <c r="U531">
        <v>0</v>
      </c>
      <c r="V531">
        <v>1</v>
      </c>
    </row>
    <row r="532" spans="1:26" x14ac:dyDescent="0.25">
      <c r="A532" t="str">
        <f>"528"</f>
        <v>528</v>
      </c>
      <c r="B532" t="str">
        <f t="shared" si="29"/>
        <v>102</v>
      </c>
      <c r="C532" t="str">
        <f t="shared" si="30"/>
        <v>22</v>
      </c>
      <c r="D532" t="str">
        <f>"11"</f>
        <v>11</v>
      </c>
      <c r="E532" t="str">
        <f>"102-22-11"</f>
        <v>102-22-11</v>
      </c>
      <c r="F532" t="s">
        <v>27</v>
      </c>
      <c r="G532" t="s">
        <v>28</v>
      </c>
      <c r="H532">
        <v>1</v>
      </c>
      <c r="Q532">
        <v>0</v>
      </c>
      <c r="R532">
        <v>1</v>
      </c>
      <c r="S532">
        <v>0</v>
      </c>
      <c r="T532">
        <v>1</v>
      </c>
      <c r="U532">
        <v>0</v>
      </c>
      <c r="V532">
        <v>1</v>
      </c>
    </row>
    <row r="533" spans="1:26" x14ac:dyDescent="0.25">
      <c r="A533" t="str">
        <f>"529"</f>
        <v>529</v>
      </c>
      <c r="B533" t="str">
        <f t="shared" si="29"/>
        <v>102</v>
      </c>
      <c r="C533" t="str">
        <f t="shared" si="30"/>
        <v>22</v>
      </c>
      <c r="D533" t="str">
        <f>"4"</f>
        <v>4</v>
      </c>
      <c r="E533" t="str">
        <f>"102-22-4"</f>
        <v>102-22-4</v>
      </c>
      <c r="F533" t="s">
        <v>27</v>
      </c>
      <c r="G533" t="s">
        <v>28</v>
      </c>
      <c r="H533">
        <v>1</v>
      </c>
      <c r="Q533">
        <v>0</v>
      </c>
      <c r="R533">
        <v>1</v>
      </c>
      <c r="S533">
        <v>0</v>
      </c>
      <c r="T533">
        <v>1</v>
      </c>
      <c r="U533">
        <v>0</v>
      </c>
      <c r="V533">
        <v>0</v>
      </c>
    </row>
    <row r="534" spans="1:26" x14ac:dyDescent="0.25">
      <c r="A534" t="str">
        <f>"530"</f>
        <v>530</v>
      </c>
      <c r="B534" t="str">
        <f t="shared" si="29"/>
        <v>102</v>
      </c>
      <c r="C534" t="str">
        <f t="shared" si="30"/>
        <v>22</v>
      </c>
      <c r="D534" t="str">
        <f>"23"</f>
        <v>23</v>
      </c>
      <c r="E534" t="str">
        <f>"102-22-23"</f>
        <v>102-22-23</v>
      </c>
      <c r="F534" t="s">
        <v>27</v>
      </c>
      <c r="G534" t="s">
        <v>28</v>
      </c>
      <c r="H534">
        <v>1</v>
      </c>
      <c r="Q534">
        <v>1</v>
      </c>
      <c r="R534">
        <v>0</v>
      </c>
      <c r="S534">
        <v>1</v>
      </c>
      <c r="T534">
        <v>0</v>
      </c>
      <c r="U534">
        <v>0</v>
      </c>
      <c r="V534">
        <v>1</v>
      </c>
    </row>
    <row r="535" spans="1:26" x14ac:dyDescent="0.25">
      <c r="A535" t="str">
        <f>"531"</f>
        <v>531</v>
      </c>
      <c r="B535" t="str">
        <f t="shared" si="29"/>
        <v>102</v>
      </c>
      <c r="C535" t="str">
        <f t="shared" si="30"/>
        <v>22</v>
      </c>
      <c r="D535" t="str">
        <f>"12"</f>
        <v>12</v>
      </c>
      <c r="E535" t="str">
        <f>"102-22-12"</f>
        <v>102-22-12</v>
      </c>
      <c r="F535" t="s">
        <v>27</v>
      </c>
      <c r="G535" t="s">
        <v>28</v>
      </c>
      <c r="H535">
        <v>1</v>
      </c>
      <c r="Q535">
        <v>0</v>
      </c>
      <c r="R535">
        <v>1</v>
      </c>
      <c r="S535">
        <v>0</v>
      </c>
      <c r="T535">
        <v>1</v>
      </c>
      <c r="U535">
        <v>0</v>
      </c>
      <c r="V535">
        <v>0</v>
      </c>
    </row>
    <row r="536" spans="1:26" x14ac:dyDescent="0.25">
      <c r="A536" t="str">
        <f>"532"</f>
        <v>532</v>
      </c>
      <c r="B536" t="str">
        <f t="shared" si="29"/>
        <v>102</v>
      </c>
      <c r="C536" t="str">
        <f t="shared" si="30"/>
        <v>22</v>
      </c>
      <c r="D536" t="str">
        <f>"1"</f>
        <v>1</v>
      </c>
      <c r="E536" t="str">
        <f>"102-22-1"</f>
        <v>102-22-1</v>
      </c>
      <c r="F536" t="s">
        <v>27</v>
      </c>
      <c r="G536" t="s">
        <v>28</v>
      </c>
      <c r="H536">
        <v>1</v>
      </c>
      <c r="Q536">
        <v>0</v>
      </c>
      <c r="R536">
        <v>1</v>
      </c>
      <c r="S536">
        <v>1</v>
      </c>
      <c r="T536">
        <v>0</v>
      </c>
      <c r="U536">
        <v>0</v>
      </c>
      <c r="V536">
        <v>1</v>
      </c>
    </row>
    <row r="537" spans="1:26" x14ac:dyDescent="0.25">
      <c r="A537" t="str">
        <f>"533"</f>
        <v>533</v>
      </c>
      <c r="B537" t="str">
        <f t="shared" si="29"/>
        <v>102</v>
      </c>
      <c r="C537" t="str">
        <f t="shared" si="30"/>
        <v>22</v>
      </c>
      <c r="D537" t="str">
        <f>"22"</f>
        <v>22</v>
      </c>
      <c r="E537" t="str">
        <f>"102-22-22"</f>
        <v>102-22-22</v>
      </c>
      <c r="F537" t="s">
        <v>27</v>
      </c>
      <c r="G537" t="s">
        <v>28</v>
      </c>
      <c r="H537">
        <v>1</v>
      </c>
      <c r="Q537">
        <v>0</v>
      </c>
      <c r="R537">
        <v>1</v>
      </c>
      <c r="S537">
        <v>0</v>
      </c>
      <c r="T537">
        <v>1</v>
      </c>
      <c r="U537">
        <v>0</v>
      </c>
      <c r="V537">
        <v>1</v>
      </c>
    </row>
    <row r="538" spans="1:26" x14ac:dyDescent="0.25">
      <c r="A538" t="str">
        <f>"534"</f>
        <v>534</v>
      </c>
      <c r="B538" t="str">
        <f t="shared" si="29"/>
        <v>102</v>
      </c>
      <c r="C538" t="str">
        <f t="shared" si="30"/>
        <v>22</v>
      </c>
      <c r="D538" t="str">
        <f>"13"</f>
        <v>13</v>
      </c>
      <c r="E538" t="str">
        <f>"102-22-13"</f>
        <v>102-22-13</v>
      </c>
      <c r="F538" t="s">
        <v>27</v>
      </c>
      <c r="G538" t="s">
        <v>29</v>
      </c>
      <c r="H538">
        <v>3</v>
      </c>
      <c r="M538">
        <v>1</v>
      </c>
      <c r="N538">
        <v>0</v>
      </c>
      <c r="O538">
        <v>1</v>
      </c>
      <c r="P538">
        <v>1</v>
      </c>
      <c r="Q538">
        <v>0</v>
      </c>
      <c r="R538">
        <v>1</v>
      </c>
      <c r="S538">
        <v>0</v>
      </c>
      <c r="T538">
        <v>1</v>
      </c>
      <c r="U538">
        <v>1</v>
      </c>
      <c r="V538">
        <v>0</v>
      </c>
      <c r="Y538">
        <v>0</v>
      </c>
      <c r="Z538">
        <v>1</v>
      </c>
    </row>
    <row r="539" spans="1:26" x14ac:dyDescent="0.25">
      <c r="A539" t="str">
        <f>"535"</f>
        <v>535</v>
      </c>
      <c r="B539" t="str">
        <f t="shared" si="29"/>
        <v>102</v>
      </c>
      <c r="C539" t="str">
        <f t="shared" si="30"/>
        <v>22</v>
      </c>
      <c r="D539" t="str">
        <f>"10"</f>
        <v>10</v>
      </c>
      <c r="E539" t="str">
        <f>"102-22-10"</f>
        <v>102-22-10</v>
      </c>
      <c r="F539" t="s">
        <v>27</v>
      </c>
      <c r="G539" t="s">
        <v>28</v>
      </c>
      <c r="H539">
        <v>1</v>
      </c>
      <c r="Q539">
        <v>1</v>
      </c>
      <c r="R539">
        <v>0</v>
      </c>
      <c r="S539">
        <v>1</v>
      </c>
      <c r="T539">
        <v>0</v>
      </c>
      <c r="U539">
        <v>1</v>
      </c>
      <c r="V539">
        <v>0</v>
      </c>
    </row>
    <row r="540" spans="1:26" x14ac:dyDescent="0.25">
      <c r="A540" t="str">
        <f>"536"</f>
        <v>536</v>
      </c>
      <c r="B540" t="str">
        <f t="shared" si="29"/>
        <v>102</v>
      </c>
      <c r="C540" t="str">
        <f t="shared" si="30"/>
        <v>22</v>
      </c>
      <c r="D540" t="str">
        <f>"24"</f>
        <v>24</v>
      </c>
      <c r="E540" t="str">
        <f>"102-22-24"</f>
        <v>102-22-24</v>
      </c>
      <c r="F540" t="s">
        <v>27</v>
      </c>
      <c r="G540" t="s">
        <v>28</v>
      </c>
      <c r="H540">
        <v>1</v>
      </c>
      <c r="Q540">
        <v>0</v>
      </c>
      <c r="R540">
        <v>1</v>
      </c>
      <c r="S540">
        <v>0</v>
      </c>
      <c r="T540">
        <v>1</v>
      </c>
      <c r="U540">
        <v>0</v>
      </c>
      <c r="V540">
        <v>1</v>
      </c>
    </row>
    <row r="541" spans="1:26" x14ac:dyDescent="0.25">
      <c r="A541" t="str">
        <f>"537"</f>
        <v>537</v>
      </c>
      <c r="B541" t="str">
        <f t="shared" si="29"/>
        <v>102</v>
      </c>
      <c r="C541" t="str">
        <f t="shared" si="30"/>
        <v>22</v>
      </c>
      <c r="D541" t="str">
        <f>"14"</f>
        <v>14</v>
      </c>
      <c r="E541" t="str">
        <f>"102-22-14"</f>
        <v>102-22-14</v>
      </c>
      <c r="F541" t="s">
        <v>27</v>
      </c>
      <c r="G541" t="s">
        <v>28</v>
      </c>
      <c r="H541">
        <v>1</v>
      </c>
      <c r="Q541">
        <v>1</v>
      </c>
      <c r="R541">
        <v>0</v>
      </c>
      <c r="S541">
        <v>1</v>
      </c>
      <c r="T541">
        <v>0</v>
      </c>
      <c r="U541">
        <v>0</v>
      </c>
      <c r="V541">
        <v>1</v>
      </c>
    </row>
    <row r="542" spans="1:26" x14ac:dyDescent="0.25">
      <c r="A542" t="str">
        <f>"538"</f>
        <v>538</v>
      </c>
      <c r="B542" t="str">
        <f t="shared" si="29"/>
        <v>102</v>
      </c>
      <c r="C542" t="str">
        <f t="shared" si="30"/>
        <v>22</v>
      </c>
      <c r="D542" t="str">
        <f>"2"</f>
        <v>2</v>
      </c>
      <c r="E542" t="str">
        <f>"102-22-2"</f>
        <v>102-22-2</v>
      </c>
      <c r="F542" t="s">
        <v>27</v>
      </c>
      <c r="G542" t="s">
        <v>28</v>
      </c>
      <c r="H542">
        <v>1</v>
      </c>
      <c r="Q542">
        <v>1</v>
      </c>
      <c r="R542">
        <v>0</v>
      </c>
      <c r="S542">
        <v>1</v>
      </c>
      <c r="T542">
        <v>0</v>
      </c>
      <c r="U542">
        <v>1</v>
      </c>
      <c r="V542">
        <v>0</v>
      </c>
    </row>
    <row r="543" spans="1:26" x14ac:dyDescent="0.25">
      <c r="A543" t="str">
        <f>"539"</f>
        <v>539</v>
      </c>
      <c r="B543" t="str">
        <f t="shared" si="29"/>
        <v>102</v>
      </c>
      <c r="C543" t="str">
        <f t="shared" si="30"/>
        <v>22</v>
      </c>
      <c r="D543" t="str">
        <f>"15"</f>
        <v>15</v>
      </c>
      <c r="E543" t="str">
        <f>"102-22-15"</f>
        <v>102-22-15</v>
      </c>
      <c r="F543" t="s">
        <v>27</v>
      </c>
      <c r="G543" t="s">
        <v>28</v>
      </c>
      <c r="H543">
        <v>1</v>
      </c>
      <c r="Q543">
        <v>0</v>
      </c>
      <c r="R543">
        <v>1</v>
      </c>
      <c r="S543">
        <v>0</v>
      </c>
      <c r="T543">
        <v>1</v>
      </c>
      <c r="U543">
        <v>1</v>
      </c>
      <c r="V543">
        <v>0</v>
      </c>
    </row>
    <row r="544" spans="1:26" x14ac:dyDescent="0.25">
      <c r="A544" t="str">
        <f>"540"</f>
        <v>540</v>
      </c>
      <c r="B544" t="str">
        <f t="shared" si="29"/>
        <v>102</v>
      </c>
      <c r="C544" t="str">
        <f t="shared" si="30"/>
        <v>22</v>
      </c>
      <c r="D544" t="str">
        <f>"3"</f>
        <v>3</v>
      </c>
      <c r="E544" t="str">
        <f>"102-22-3"</f>
        <v>102-22-3</v>
      </c>
      <c r="F544" t="s">
        <v>27</v>
      </c>
      <c r="G544" t="s">
        <v>28</v>
      </c>
      <c r="H544">
        <v>1</v>
      </c>
      <c r="Q544">
        <v>0</v>
      </c>
      <c r="R544">
        <v>1</v>
      </c>
      <c r="S544">
        <v>0</v>
      </c>
      <c r="T544">
        <v>1</v>
      </c>
      <c r="U544">
        <v>0</v>
      </c>
      <c r="V544">
        <v>1</v>
      </c>
    </row>
    <row r="545" spans="1:26" x14ac:dyDescent="0.25">
      <c r="A545" t="str">
        <f>"541"</f>
        <v>541</v>
      </c>
      <c r="B545" t="str">
        <f t="shared" si="29"/>
        <v>102</v>
      </c>
      <c r="C545" t="str">
        <f t="shared" si="30"/>
        <v>22</v>
      </c>
      <c r="D545" t="str">
        <f>"16"</f>
        <v>16</v>
      </c>
      <c r="E545" t="str">
        <f>"102-22-16"</f>
        <v>102-22-16</v>
      </c>
      <c r="F545" t="s">
        <v>27</v>
      </c>
      <c r="G545" t="s">
        <v>28</v>
      </c>
      <c r="H545">
        <v>1</v>
      </c>
      <c r="Q545">
        <v>1</v>
      </c>
      <c r="R545">
        <v>0</v>
      </c>
      <c r="S545">
        <v>1</v>
      </c>
      <c r="T545">
        <v>0</v>
      </c>
      <c r="U545">
        <v>1</v>
      </c>
      <c r="V545">
        <v>0</v>
      </c>
    </row>
    <row r="546" spans="1:26" x14ac:dyDescent="0.25">
      <c r="A546" t="str">
        <f>"542"</f>
        <v>542</v>
      </c>
      <c r="B546" t="str">
        <f t="shared" si="29"/>
        <v>102</v>
      </c>
      <c r="C546" t="str">
        <f t="shared" si="30"/>
        <v>22</v>
      </c>
      <c r="D546" t="str">
        <f>"8"</f>
        <v>8</v>
      </c>
      <c r="E546" t="str">
        <f>"102-22-8"</f>
        <v>102-22-8</v>
      </c>
      <c r="F546" t="s">
        <v>27</v>
      </c>
      <c r="G546" t="s">
        <v>28</v>
      </c>
      <c r="H546">
        <v>1</v>
      </c>
      <c r="Q546">
        <v>0</v>
      </c>
      <c r="R546">
        <v>1</v>
      </c>
      <c r="S546">
        <v>0</v>
      </c>
      <c r="T546">
        <v>1</v>
      </c>
      <c r="U546">
        <v>0</v>
      </c>
      <c r="V546">
        <v>1</v>
      </c>
    </row>
    <row r="547" spans="1:26" x14ac:dyDescent="0.25">
      <c r="A547" t="str">
        <f>"543"</f>
        <v>543</v>
      </c>
      <c r="B547" t="str">
        <f t="shared" si="29"/>
        <v>102</v>
      </c>
      <c r="C547" t="str">
        <f t="shared" si="30"/>
        <v>22</v>
      </c>
      <c r="D547" t="str">
        <f>"17"</f>
        <v>17</v>
      </c>
      <c r="E547" t="str">
        <f>"102-22-17"</f>
        <v>102-22-17</v>
      </c>
      <c r="F547" t="s">
        <v>27</v>
      </c>
      <c r="G547" t="s">
        <v>29</v>
      </c>
      <c r="H547">
        <v>3</v>
      </c>
      <c r="M547">
        <v>0</v>
      </c>
      <c r="N547">
        <v>0</v>
      </c>
      <c r="O547">
        <v>0</v>
      </c>
      <c r="P547">
        <v>0</v>
      </c>
      <c r="Q547">
        <v>1</v>
      </c>
      <c r="R547">
        <v>0</v>
      </c>
      <c r="S547">
        <v>1</v>
      </c>
      <c r="T547">
        <v>0</v>
      </c>
      <c r="U547">
        <v>1</v>
      </c>
      <c r="V547">
        <v>0</v>
      </c>
      <c r="Y547">
        <v>0</v>
      </c>
      <c r="Z547">
        <v>0</v>
      </c>
    </row>
    <row r="548" spans="1:26" x14ac:dyDescent="0.25">
      <c r="A548" t="str">
        <f>"544"</f>
        <v>544</v>
      </c>
      <c r="B548" t="str">
        <f t="shared" si="29"/>
        <v>102</v>
      </c>
      <c r="C548" t="str">
        <f t="shared" si="30"/>
        <v>22</v>
      </c>
      <c r="D548" t="str">
        <f>"5"</f>
        <v>5</v>
      </c>
      <c r="E548" t="str">
        <f>"102-22-5"</f>
        <v>102-22-5</v>
      </c>
      <c r="F548" t="s">
        <v>27</v>
      </c>
      <c r="G548" t="s">
        <v>28</v>
      </c>
      <c r="H548">
        <v>1</v>
      </c>
      <c r="Q548">
        <v>1</v>
      </c>
      <c r="R548">
        <v>0</v>
      </c>
      <c r="S548">
        <v>1</v>
      </c>
      <c r="T548">
        <v>0</v>
      </c>
      <c r="U548">
        <v>1</v>
      </c>
      <c r="V548">
        <v>0</v>
      </c>
    </row>
    <row r="549" spans="1:26" x14ac:dyDescent="0.25">
      <c r="A549" t="str">
        <f>"545"</f>
        <v>545</v>
      </c>
      <c r="B549" t="str">
        <f t="shared" si="29"/>
        <v>102</v>
      </c>
      <c r="C549" t="str">
        <f t="shared" si="30"/>
        <v>22</v>
      </c>
      <c r="D549" t="str">
        <f>"18"</f>
        <v>18</v>
      </c>
      <c r="E549" t="str">
        <f>"102-22-18"</f>
        <v>102-22-18</v>
      </c>
      <c r="F549" t="s">
        <v>27</v>
      </c>
      <c r="G549" t="s">
        <v>28</v>
      </c>
      <c r="H549">
        <v>1</v>
      </c>
      <c r="Q549">
        <v>1</v>
      </c>
      <c r="R549">
        <v>0</v>
      </c>
      <c r="S549">
        <v>1</v>
      </c>
      <c r="T549">
        <v>0</v>
      </c>
      <c r="U549">
        <v>0</v>
      </c>
      <c r="V549">
        <v>1</v>
      </c>
    </row>
    <row r="550" spans="1:26" x14ac:dyDescent="0.25">
      <c r="A550" t="str">
        <f>"546"</f>
        <v>546</v>
      </c>
      <c r="B550" t="str">
        <f t="shared" si="29"/>
        <v>102</v>
      </c>
      <c r="C550" t="str">
        <f t="shared" si="30"/>
        <v>22</v>
      </c>
      <c r="D550" t="str">
        <f>"9"</f>
        <v>9</v>
      </c>
      <c r="E550" t="str">
        <f>"102-22-9"</f>
        <v>102-22-9</v>
      </c>
      <c r="F550" t="s">
        <v>27</v>
      </c>
      <c r="G550" t="s">
        <v>28</v>
      </c>
      <c r="H550">
        <v>1</v>
      </c>
      <c r="Q550">
        <v>0</v>
      </c>
      <c r="R550">
        <v>1</v>
      </c>
      <c r="S550">
        <v>0</v>
      </c>
      <c r="T550">
        <v>1</v>
      </c>
      <c r="U550">
        <v>0</v>
      </c>
      <c r="V550">
        <v>1</v>
      </c>
    </row>
    <row r="551" spans="1:26" x14ac:dyDescent="0.25">
      <c r="A551" t="str">
        <f>"547"</f>
        <v>547</v>
      </c>
      <c r="B551" t="str">
        <f t="shared" si="29"/>
        <v>102</v>
      </c>
      <c r="C551" t="str">
        <f t="shared" si="30"/>
        <v>22</v>
      </c>
      <c r="D551" t="str">
        <f>"19"</f>
        <v>19</v>
      </c>
      <c r="E551" t="str">
        <f>"102-22-19"</f>
        <v>102-22-19</v>
      </c>
      <c r="F551" t="s">
        <v>27</v>
      </c>
      <c r="G551" t="s">
        <v>28</v>
      </c>
      <c r="H551">
        <v>1</v>
      </c>
      <c r="Q551">
        <v>1</v>
      </c>
      <c r="R551">
        <v>0</v>
      </c>
      <c r="S551">
        <v>0</v>
      </c>
      <c r="T551">
        <v>1</v>
      </c>
      <c r="U551">
        <v>0</v>
      </c>
      <c r="V551">
        <v>1</v>
      </c>
    </row>
    <row r="552" spans="1:26" x14ac:dyDescent="0.25">
      <c r="A552" t="str">
        <f>"548"</f>
        <v>548</v>
      </c>
      <c r="B552" t="str">
        <f t="shared" si="29"/>
        <v>102</v>
      </c>
      <c r="C552" t="str">
        <f t="shared" si="30"/>
        <v>22</v>
      </c>
      <c r="D552" t="str">
        <f>"7"</f>
        <v>7</v>
      </c>
      <c r="E552" t="str">
        <f>"102-22-7"</f>
        <v>102-22-7</v>
      </c>
      <c r="F552" t="s">
        <v>27</v>
      </c>
      <c r="G552" t="s">
        <v>28</v>
      </c>
      <c r="H552">
        <v>1</v>
      </c>
      <c r="Q552">
        <v>1</v>
      </c>
      <c r="R552">
        <v>0</v>
      </c>
      <c r="S552">
        <v>1</v>
      </c>
      <c r="T552">
        <v>0</v>
      </c>
      <c r="U552">
        <v>1</v>
      </c>
      <c r="V552">
        <v>0</v>
      </c>
    </row>
    <row r="553" spans="1:26" x14ac:dyDescent="0.25">
      <c r="A553" t="str">
        <f>"549"</f>
        <v>549</v>
      </c>
      <c r="B553" t="str">
        <f t="shared" si="29"/>
        <v>102</v>
      </c>
      <c r="C553" t="str">
        <f t="shared" si="30"/>
        <v>22</v>
      </c>
      <c r="D553" t="str">
        <f>"20"</f>
        <v>20</v>
      </c>
      <c r="E553" t="str">
        <f>"102-22-20"</f>
        <v>102-22-20</v>
      </c>
      <c r="F553" t="s">
        <v>27</v>
      </c>
      <c r="G553" t="s">
        <v>28</v>
      </c>
      <c r="H553">
        <v>1</v>
      </c>
      <c r="Q553">
        <v>1</v>
      </c>
      <c r="R553">
        <v>0</v>
      </c>
      <c r="S553">
        <v>1</v>
      </c>
      <c r="T553">
        <v>0</v>
      </c>
      <c r="U553">
        <v>0</v>
      </c>
      <c r="V553">
        <v>0</v>
      </c>
    </row>
    <row r="554" spans="1:26" x14ac:dyDescent="0.25">
      <c r="A554" t="str">
        <f>"550"</f>
        <v>550</v>
      </c>
      <c r="B554" t="str">
        <f t="shared" si="29"/>
        <v>102</v>
      </c>
      <c r="C554" t="str">
        <f t="shared" si="30"/>
        <v>22</v>
      </c>
      <c r="D554" t="str">
        <f>"6"</f>
        <v>6</v>
      </c>
      <c r="E554" t="str">
        <f>"102-22-6"</f>
        <v>102-22-6</v>
      </c>
      <c r="F554" t="s">
        <v>27</v>
      </c>
      <c r="G554" t="s">
        <v>28</v>
      </c>
      <c r="H554">
        <v>1</v>
      </c>
      <c r="Q554">
        <v>1</v>
      </c>
      <c r="R554">
        <v>0</v>
      </c>
      <c r="S554">
        <v>1</v>
      </c>
      <c r="T554">
        <v>0</v>
      </c>
      <c r="U554">
        <v>0</v>
      </c>
      <c r="V554">
        <v>1</v>
      </c>
    </row>
    <row r="555" spans="1:26" x14ac:dyDescent="0.25">
      <c r="A555" t="str">
        <f>"551"</f>
        <v>551</v>
      </c>
      <c r="B555" t="str">
        <f t="shared" si="29"/>
        <v>102</v>
      </c>
      <c r="C555" t="str">
        <f t="shared" ref="C555:C579" si="31">"23"</f>
        <v>23</v>
      </c>
      <c r="D555" t="str">
        <f>"24"</f>
        <v>24</v>
      </c>
      <c r="E555" t="str">
        <f>"102-23-24"</f>
        <v>102-23-24</v>
      </c>
      <c r="F555" t="s">
        <v>27</v>
      </c>
      <c r="G555" t="s">
        <v>28</v>
      </c>
      <c r="H555">
        <v>1</v>
      </c>
      <c r="Q555">
        <v>0</v>
      </c>
      <c r="R555">
        <v>1</v>
      </c>
      <c r="S555">
        <v>0</v>
      </c>
      <c r="T555">
        <v>1</v>
      </c>
      <c r="U555">
        <v>0</v>
      </c>
      <c r="V555">
        <v>1</v>
      </c>
    </row>
    <row r="556" spans="1:26" x14ac:dyDescent="0.25">
      <c r="A556" t="str">
        <f>"552"</f>
        <v>552</v>
      </c>
      <c r="B556" t="str">
        <f t="shared" si="29"/>
        <v>102</v>
      </c>
      <c r="C556" t="str">
        <f t="shared" si="31"/>
        <v>23</v>
      </c>
      <c r="D556" t="str">
        <f>"11"</f>
        <v>11</v>
      </c>
      <c r="E556" t="str">
        <f>"102-23-11"</f>
        <v>102-23-11</v>
      </c>
      <c r="F556" t="s">
        <v>27</v>
      </c>
      <c r="G556" t="s">
        <v>28</v>
      </c>
      <c r="H556">
        <v>1</v>
      </c>
      <c r="Q556">
        <v>0</v>
      </c>
      <c r="R556">
        <v>1</v>
      </c>
      <c r="S556">
        <v>0</v>
      </c>
      <c r="T556">
        <v>1</v>
      </c>
      <c r="U556">
        <v>1</v>
      </c>
      <c r="V556">
        <v>0</v>
      </c>
    </row>
    <row r="557" spans="1:26" x14ac:dyDescent="0.25">
      <c r="A557" t="str">
        <f>"553"</f>
        <v>553</v>
      </c>
      <c r="B557" t="str">
        <f t="shared" si="29"/>
        <v>102</v>
      </c>
      <c r="C557" t="str">
        <f t="shared" si="31"/>
        <v>23</v>
      </c>
      <c r="D557" t="str">
        <f>"4"</f>
        <v>4</v>
      </c>
      <c r="E557" t="str">
        <f>"102-23-4"</f>
        <v>102-23-4</v>
      </c>
      <c r="F557" t="s">
        <v>27</v>
      </c>
      <c r="G557" t="s">
        <v>28</v>
      </c>
      <c r="H557">
        <v>1</v>
      </c>
      <c r="Q557">
        <v>0</v>
      </c>
      <c r="R557">
        <v>1</v>
      </c>
      <c r="S557">
        <v>0</v>
      </c>
      <c r="T557">
        <v>1</v>
      </c>
      <c r="U557">
        <v>1</v>
      </c>
      <c r="V557">
        <v>0</v>
      </c>
    </row>
    <row r="558" spans="1:26" x14ac:dyDescent="0.25">
      <c r="A558" t="str">
        <f>"554"</f>
        <v>554</v>
      </c>
      <c r="B558" t="str">
        <f t="shared" si="29"/>
        <v>102</v>
      </c>
      <c r="C558" t="str">
        <f t="shared" si="31"/>
        <v>23</v>
      </c>
      <c r="D558" t="str">
        <f>"23"</f>
        <v>23</v>
      </c>
      <c r="E558" t="str">
        <f>"102-23-23"</f>
        <v>102-23-23</v>
      </c>
      <c r="F558" t="s">
        <v>27</v>
      </c>
      <c r="G558" t="s">
        <v>28</v>
      </c>
      <c r="H558">
        <v>1</v>
      </c>
      <c r="Q558">
        <v>1</v>
      </c>
      <c r="R558">
        <v>0</v>
      </c>
      <c r="S558">
        <v>0</v>
      </c>
      <c r="T558">
        <v>0</v>
      </c>
      <c r="U558">
        <v>1</v>
      </c>
      <c r="V558">
        <v>0</v>
      </c>
    </row>
    <row r="559" spans="1:26" x14ac:dyDescent="0.25">
      <c r="A559" t="str">
        <f>"555"</f>
        <v>555</v>
      </c>
      <c r="B559" t="str">
        <f t="shared" si="29"/>
        <v>102</v>
      </c>
      <c r="C559" t="str">
        <f t="shared" si="31"/>
        <v>23</v>
      </c>
      <c r="D559" t="str">
        <f>"12"</f>
        <v>12</v>
      </c>
      <c r="E559" t="str">
        <f>"102-23-12"</f>
        <v>102-23-12</v>
      </c>
      <c r="F559" t="s">
        <v>27</v>
      </c>
      <c r="G559" t="s">
        <v>28</v>
      </c>
      <c r="H559">
        <v>1</v>
      </c>
      <c r="Q559">
        <v>0</v>
      </c>
      <c r="R559">
        <v>1</v>
      </c>
      <c r="S559">
        <v>0</v>
      </c>
      <c r="T559">
        <v>1</v>
      </c>
      <c r="U559">
        <v>1</v>
      </c>
      <c r="V559">
        <v>0</v>
      </c>
    </row>
    <row r="560" spans="1:26" x14ac:dyDescent="0.25">
      <c r="A560" t="str">
        <f>"556"</f>
        <v>556</v>
      </c>
      <c r="B560" t="str">
        <f t="shared" si="29"/>
        <v>102</v>
      </c>
      <c r="C560" t="str">
        <f t="shared" si="31"/>
        <v>23</v>
      </c>
      <c r="D560" t="str">
        <f>"3"</f>
        <v>3</v>
      </c>
      <c r="E560" t="str">
        <f>"102-23-3"</f>
        <v>102-23-3</v>
      </c>
      <c r="F560" t="s">
        <v>27</v>
      </c>
      <c r="G560" t="s">
        <v>28</v>
      </c>
      <c r="H560">
        <v>1</v>
      </c>
      <c r="Q560">
        <v>0</v>
      </c>
      <c r="R560">
        <v>1</v>
      </c>
      <c r="S560">
        <v>0</v>
      </c>
      <c r="T560">
        <v>1</v>
      </c>
      <c r="U560">
        <v>0</v>
      </c>
      <c r="V560">
        <v>1</v>
      </c>
    </row>
    <row r="561" spans="1:22" x14ac:dyDescent="0.25">
      <c r="A561" t="str">
        <f>"557"</f>
        <v>557</v>
      </c>
      <c r="B561" t="str">
        <f t="shared" si="29"/>
        <v>102</v>
      </c>
      <c r="C561" t="str">
        <f t="shared" si="31"/>
        <v>23</v>
      </c>
      <c r="D561" t="str">
        <f>"13"</f>
        <v>13</v>
      </c>
      <c r="E561" t="str">
        <f>"102-23-13"</f>
        <v>102-23-13</v>
      </c>
      <c r="F561" t="s">
        <v>27</v>
      </c>
      <c r="G561" t="s">
        <v>28</v>
      </c>
      <c r="H561">
        <v>1</v>
      </c>
      <c r="Q561">
        <v>0</v>
      </c>
      <c r="R561">
        <v>1</v>
      </c>
      <c r="S561">
        <v>1</v>
      </c>
      <c r="T561">
        <v>0</v>
      </c>
      <c r="U561">
        <v>0</v>
      </c>
      <c r="V561">
        <v>1</v>
      </c>
    </row>
    <row r="562" spans="1:22" x14ac:dyDescent="0.25">
      <c r="A562" t="str">
        <f>"558"</f>
        <v>558</v>
      </c>
      <c r="B562" t="str">
        <f t="shared" si="29"/>
        <v>102</v>
      </c>
      <c r="C562" t="str">
        <f t="shared" si="31"/>
        <v>23</v>
      </c>
      <c r="D562" t="str">
        <f>"5"</f>
        <v>5</v>
      </c>
      <c r="E562" t="str">
        <f>"102-23-5"</f>
        <v>102-23-5</v>
      </c>
      <c r="F562" t="s">
        <v>27</v>
      </c>
      <c r="G562" t="s">
        <v>28</v>
      </c>
      <c r="H562">
        <v>1</v>
      </c>
      <c r="Q562">
        <v>1</v>
      </c>
      <c r="R562">
        <v>0</v>
      </c>
      <c r="S562">
        <v>1</v>
      </c>
      <c r="T562">
        <v>0</v>
      </c>
      <c r="U562">
        <v>0</v>
      </c>
      <c r="V562">
        <v>1</v>
      </c>
    </row>
    <row r="563" spans="1:22" x14ac:dyDescent="0.25">
      <c r="A563" t="str">
        <f>"559"</f>
        <v>559</v>
      </c>
      <c r="B563" t="str">
        <f t="shared" si="29"/>
        <v>102</v>
      </c>
      <c r="C563" t="str">
        <f t="shared" si="31"/>
        <v>23</v>
      </c>
      <c r="D563" t="str">
        <f>"25"</f>
        <v>25</v>
      </c>
      <c r="E563" t="str">
        <f>"102-23-25"</f>
        <v>102-23-25</v>
      </c>
      <c r="F563" t="s">
        <v>27</v>
      </c>
      <c r="G563" t="s">
        <v>28</v>
      </c>
      <c r="H563">
        <v>1</v>
      </c>
      <c r="Q563">
        <v>1</v>
      </c>
      <c r="R563">
        <v>0</v>
      </c>
      <c r="S563">
        <v>0</v>
      </c>
      <c r="T563">
        <v>1</v>
      </c>
      <c r="U563">
        <v>0</v>
      </c>
      <c r="V563">
        <v>1</v>
      </c>
    </row>
    <row r="564" spans="1:22" x14ac:dyDescent="0.25">
      <c r="A564" t="str">
        <f>"560"</f>
        <v>560</v>
      </c>
      <c r="B564" t="str">
        <f t="shared" si="29"/>
        <v>102</v>
      </c>
      <c r="C564" t="str">
        <f t="shared" si="31"/>
        <v>23</v>
      </c>
      <c r="D564" t="str">
        <f>"14"</f>
        <v>14</v>
      </c>
      <c r="E564" t="str">
        <f>"102-23-14"</f>
        <v>102-23-14</v>
      </c>
      <c r="F564" t="s">
        <v>27</v>
      </c>
      <c r="G564" t="s">
        <v>28</v>
      </c>
      <c r="H564">
        <v>1</v>
      </c>
      <c r="Q564">
        <v>1</v>
      </c>
      <c r="R564">
        <v>0</v>
      </c>
      <c r="S564">
        <v>0</v>
      </c>
      <c r="T564">
        <v>1</v>
      </c>
      <c r="U564">
        <v>1</v>
      </c>
      <c r="V564">
        <v>0</v>
      </c>
    </row>
    <row r="565" spans="1:22" x14ac:dyDescent="0.25">
      <c r="A565" t="str">
        <f>"561"</f>
        <v>561</v>
      </c>
      <c r="B565" t="str">
        <f t="shared" si="29"/>
        <v>102</v>
      </c>
      <c r="C565" t="str">
        <f t="shared" si="31"/>
        <v>23</v>
      </c>
      <c r="D565" t="str">
        <f>"2"</f>
        <v>2</v>
      </c>
      <c r="E565" t="str">
        <f>"102-23-2"</f>
        <v>102-23-2</v>
      </c>
      <c r="F565" t="s">
        <v>27</v>
      </c>
      <c r="G565" t="s">
        <v>28</v>
      </c>
      <c r="H565">
        <v>1</v>
      </c>
      <c r="Q565">
        <v>1</v>
      </c>
      <c r="R565">
        <v>0</v>
      </c>
      <c r="S565">
        <v>1</v>
      </c>
      <c r="T565">
        <v>0</v>
      </c>
      <c r="U565">
        <v>1</v>
      </c>
      <c r="V565">
        <v>0</v>
      </c>
    </row>
    <row r="566" spans="1:22" x14ac:dyDescent="0.25">
      <c r="A566" t="str">
        <f>"562"</f>
        <v>562</v>
      </c>
      <c r="B566" t="str">
        <f t="shared" si="29"/>
        <v>102</v>
      </c>
      <c r="C566" t="str">
        <f t="shared" si="31"/>
        <v>23</v>
      </c>
      <c r="D566" t="str">
        <f>"21"</f>
        <v>21</v>
      </c>
      <c r="E566" t="str">
        <f>"102-23-21"</f>
        <v>102-23-21</v>
      </c>
      <c r="F566" t="s">
        <v>27</v>
      </c>
      <c r="G566" t="s">
        <v>28</v>
      </c>
      <c r="H566">
        <v>1</v>
      </c>
      <c r="Q566">
        <v>0</v>
      </c>
      <c r="R566">
        <v>1</v>
      </c>
      <c r="S566">
        <v>0</v>
      </c>
      <c r="T566">
        <v>1</v>
      </c>
      <c r="U566">
        <v>0</v>
      </c>
      <c r="V566">
        <v>1</v>
      </c>
    </row>
    <row r="567" spans="1:22" x14ac:dyDescent="0.25">
      <c r="A567" t="str">
        <f>"563"</f>
        <v>563</v>
      </c>
      <c r="B567" t="str">
        <f t="shared" si="29"/>
        <v>102</v>
      </c>
      <c r="C567" t="str">
        <f t="shared" si="31"/>
        <v>23</v>
      </c>
      <c r="D567" t="str">
        <f>"15"</f>
        <v>15</v>
      </c>
      <c r="E567" t="str">
        <f>"102-23-15"</f>
        <v>102-23-15</v>
      </c>
      <c r="F567" t="s">
        <v>27</v>
      </c>
      <c r="G567" t="s">
        <v>28</v>
      </c>
      <c r="H567">
        <v>1</v>
      </c>
      <c r="Q567">
        <v>1</v>
      </c>
      <c r="R567">
        <v>0</v>
      </c>
      <c r="S567">
        <v>1</v>
      </c>
      <c r="T567">
        <v>0</v>
      </c>
      <c r="U567">
        <v>1</v>
      </c>
      <c r="V567">
        <v>0</v>
      </c>
    </row>
    <row r="568" spans="1:22" x14ac:dyDescent="0.25">
      <c r="A568" t="str">
        <f>"564"</f>
        <v>564</v>
      </c>
      <c r="B568" t="str">
        <f t="shared" si="29"/>
        <v>102</v>
      </c>
      <c r="C568" t="str">
        <f t="shared" si="31"/>
        <v>23</v>
      </c>
      <c r="D568" t="str">
        <f>"9"</f>
        <v>9</v>
      </c>
      <c r="E568" t="str">
        <f>"102-23-9"</f>
        <v>102-23-9</v>
      </c>
      <c r="F568" t="s">
        <v>27</v>
      </c>
      <c r="G568" t="s">
        <v>28</v>
      </c>
      <c r="H568">
        <v>1</v>
      </c>
      <c r="Q568">
        <v>0</v>
      </c>
      <c r="R568">
        <v>1</v>
      </c>
      <c r="S568">
        <v>0</v>
      </c>
      <c r="T568">
        <v>1</v>
      </c>
      <c r="U568">
        <v>0</v>
      </c>
      <c r="V568">
        <v>1</v>
      </c>
    </row>
    <row r="569" spans="1:22" x14ac:dyDescent="0.25">
      <c r="A569" t="str">
        <f>"565"</f>
        <v>565</v>
      </c>
      <c r="B569" t="str">
        <f t="shared" si="29"/>
        <v>102</v>
      </c>
      <c r="C569" t="str">
        <f t="shared" si="31"/>
        <v>23</v>
      </c>
      <c r="D569" t="str">
        <f>"22"</f>
        <v>22</v>
      </c>
      <c r="E569" t="str">
        <f>"102-23-22"</f>
        <v>102-23-22</v>
      </c>
      <c r="F569" t="s">
        <v>27</v>
      </c>
      <c r="G569" t="s">
        <v>28</v>
      </c>
      <c r="H569">
        <v>1</v>
      </c>
      <c r="Q569">
        <v>1</v>
      </c>
      <c r="R569">
        <v>0</v>
      </c>
      <c r="S569">
        <v>0</v>
      </c>
      <c r="T569">
        <v>1</v>
      </c>
      <c r="U569">
        <v>0</v>
      </c>
      <c r="V569">
        <v>1</v>
      </c>
    </row>
    <row r="570" spans="1:22" x14ac:dyDescent="0.25">
      <c r="A570" t="str">
        <f>"566"</f>
        <v>566</v>
      </c>
      <c r="B570" t="str">
        <f t="shared" si="29"/>
        <v>102</v>
      </c>
      <c r="C570" t="str">
        <f t="shared" si="31"/>
        <v>23</v>
      </c>
      <c r="D570" t="str">
        <f>"16"</f>
        <v>16</v>
      </c>
      <c r="E570" t="str">
        <f>"102-23-16"</f>
        <v>102-23-16</v>
      </c>
      <c r="F570" t="s">
        <v>27</v>
      </c>
      <c r="G570" t="s">
        <v>28</v>
      </c>
      <c r="H570">
        <v>1</v>
      </c>
      <c r="Q570">
        <v>0</v>
      </c>
      <c r="R570">
        <v>1</v>
      </c>
      <c r="S570">
        <v>0</v>
      </c>
      <c r="T570">
        <v>1</v>
      </c>
      <c r="U570">
        <v>0</v>
      </c>
      <c r="V570">
        <v>1</v>
      </c>
    </row>
    <row r="571" spans="1:22" x14ac:dyDescent="0.25">
      <c r="A571" t="str">
        <f>"567"</f>
        <v>567</v>
      </c>
      <c r="B571" t="str">
        <f t="shared" si="29"/>
        <v>102</v>
      </c>
      <c r="C571" t="str">
        <f t="shared" si="31"/>
        <v>23</v>
      </c>
      <c r="D571" t="str">
        <f>"10"</f>
        <v>10</v>
      </c>
      <c r="E571" t="str">
        <f>"102-23-10"</f>
        <v>102-23-10</v>
      </c>
      <c r="F571" t="s">
        <v>27</v>
      </c>
      <c r="G571" t="s">
        <v>28</v>
      </c>
      <c r="H571">
        <v>1</v>
      </c>
      <c r="Q571">
        <v>0</v>
      </c>
      <c r="R571">
        <v>1</v>
      </c>
      <c r="S571">
        <v>0</v>
      </c>
      <c r="T571">
        <v>1</v>
      </c>
      <c r="U571">
        <v>0</v>
      </c>
      <c r="V571">
        <v>1</v>
      </c>
    </row>
    <row r="572" spans="1:22" x14ac:dyDescent="0.25">
      <c r="A572" t="str">
        <f>"568"</f>
        <v>568</v>
      </c>
      <c r="B572" t="str">
        <f t="shared" si="29"/>
        <v>102</v>
      </c>
      <c r="C572" t="str">
        <f t="shared" si="31"/>
        <v>23</v>
      </c>
      <c r="D572" t="str">
        <f>"17"</f>
        <v>17</v>
      </c>
      <c r="E572" t="str">
        <f>"102-23-17"</f>
        <v>102-23-17</v>
      </c>
      <c r="F572" t="s">
        <v>27</v>
      </c>
      <c r="G572" t="s">
        <v>28</v>
      </c>
      <c r="H572">
        <v>1</v>
      </c>
      <c r="Q572">
        <v>0</v>
      </c>
      <c r="R572">
        <v>1</v>
      </c>
      <c r="S572">
        <v>0</v>
      </c>
      <c r="T572">
        <v>1</v>
      </c>
      <c r="U572">
        <v>1</v>
      </c>
      <c r="V572">
        <v>0</v>
      </c>
    </row>
    <row r="573" spans="1:22" x14ac:dyDescent="0.25">
      <c r="A573" t="str">
        <f>"569"</f>
        <v>569</v>
      </c>
      <c r="B573" t="str">
        <f t="shared" si="29"/>
        <v>102</v>
      </c>
      <c r="C573" t="str">
        <f t="shared" si="31"/>
        <v>23</v>
      </c>
      <c r="D573" t="str">
        <f>"7"</f>
        <v>7</v>
      </c>
      <c r="E573" t="str">
        <f>"102-23-7"</f>
        <v>102-23-7</v>
      </c>
      <c r="F573" t="s">
        <v>27</v>
      </c>
      <c r="G573" t="s">
        <v>28</v>
      </c>
      <c r="H573">
        <v>1</v>
      </c>
      <c r="Q573">
        <v>0</v>
      </c>
      <c r="R573">
        <v>1</v>
      </c>
      <c r="S573">
        <v>0</v>
      </c>
      <c r="T573">
        <v>1</v>
      </c>
      <c r="U573">
        <v>0</v>
      </c>
      <c r="V573">
        <v>1</v>
      </c>
    </row>
    <row r="574" spans="1:22" x14ac:dyDescent="0.25">
      <c r="A574" t="str">
        <f>"570"</f>
        <v>570</v>
      </c>
      <c r="B574" t="str">
        <f t="shared" si="29"/>
        <v>102</v>
      </c>
      <c r="C574" t="str">
        <f t="shared" si="31"/>
        <v>23</v>
      </c>
      <c r="D574" t="str">
        <f>"18"</f>
        <v>18</v>
      </c>
      <c r="E574" t="str">
        <f>"102-23-18"</f>
        <v>102-23-18</v>
      </c>
      <c r="F574" t="s">
        <v>27</v>
      </c>
      <c r="G574" t="s">
        <v>28</v>
      </c>
      <c r="H574">
        <v>1</v>
      </c>
      <c r="Q574">
        <v>0</v>
      </c>
      <c r="R574">
        <v>1</v>
      </c>
      <c r="S574">
        <v>0</v>
      </c>
      <c r="T574">
        <v>1</v>
      </c>
      <c r="U574">
        <v>0</v>
      </c>
      <c r="V574">
        <v>1</v>
      </c>
    </row>
    <row r="575" spans="1:22" x14ac:dyDescent="0.25">
      <c r="A575" t="str">
        <f>"571"</f>
        <v>571</v>
      </c>
      <c r="B575" t="str">
        <f t="shared" si="29"/>
        <v>102</v>
      </c>
      <c r="C575" t="str">
        <f t="shared" si="31"/>
        <v>23</v>
      </c>
      <c r="D575" t="str">
        <f>"6"</f>
        <v>6</v>
      </c>
      <c r="E575" t="str">
        <f>"102-23-6"</f>
        <v>102-23-6</v>
      </c>
      <c r="F575" t="s">
        <v>27</v>
      </c>
      <c r="G575" t="s">
        <v>28</v>
      </c>
      <c r="H575">
        <v>1</v>
      </c>
      <c r="Q575">
        <v>1</v>
      </c>
      <c r="R575">
        <v>0</v>
      </c>
      <c r="S575">
        <v>0</v>
      </c>
      <c r="T575">
        <v>1</v>
      </c>
      <c r="U575">
        <v>0</v>
      </c>
      <c r="V575">
        <v>1</v>
      </c>
    </row>
    <row r="576" spans="1:22" x14ac:dyDescent="0.25">
      <c r="A576" t="str">
        <f>"572"</f>
        <v>572</v>
      </c>
      <c r="B576" t="str">
        <f t="shared" si="29"/>
        <v>102</v>
      </c>
      <c r="C576" t="str">
        <f t="shared" si="31"/>
        <v>23</v>
      </c>
      <c r="D576" t="str">
        <f>"19"</f>
        <v>19</v>
      </c>
      <c r="E576" t="str">
        <f>"102-23-19"</f>
        <v>102-23-19</v>
      </c>
      <c r="F576" t="s">
        <v>27</v>
      </c>
      <c r="G576" t="s">
        <v>28</v>
      </c>
      <c r="H576">
        <v>1</v>
      </c>
      <c r="Q576">
        <v>1</v>
      </c>
      <c r="R576">
        <v>0</v>
      </c>
      <c r="S576">
        <v>0</v>
      </c>
      <c r="T576">
        <v>1</v>
      </c>
      <c r="U576">
        <v>1</v>
      </c>
      <c r="V576">
        <v>0</v>
      </c>
    </row>
    <row r="577" spans="1:26" x14ac:dyDescent="0.25">
      <c r="A577" t="str">
        <f>"573"</f>
        <v>573</v>
      </c>
      <c r="B577" t="str">
        <f t="shared" si="29"/>
        <v>102</v>
      </c>
      <c r="C577" t="str">
        <f t="shared" si="31"/>
        <v>23</v>
      </c>
      <c r="D577" t="str">
        <f>"1"</f>
        <v>1</v>
      </c>
      <c r="E577" t="str">
        <f>"102-23-1"</f>
        <v>102-23-1</v>
      </c>
      <c r="F577" t="s">
        <v>27</v>
      </c>
      <c r="G577" t="s">
        <v>28</v>
      </c>
      <c r="H577">
        <v>1</v>
      </c>
      <c r="Q577">
        <v>0</v>
      </c>
      <c r="R577">
        <v>1</v>
      </c>
      <c r="S577">
        <v>0</v>
      </c>
      <c r="T577">
        <v>1</v>
      </c>
      <c r="U577">
        <v>0</v>
      </c>
      <c r="V577">
        <v>1</v>
      </c>
    </row>
    <row r="578" spans="1:26" x14ac:dyDescent="0.25">
      <c r="A578" t="str">
        <f>"574"</f>
        <v>574</v>
      </c>
      <c r="B578" t="str">
        <f t="shared" si="29"/>
        <v>102</v>
      </c>
      <c r="C578" t="str">
        <f t="shared" si="31"/>
        <v>23</v>
      </c>
      <c r="D578" t="str">
        <f>"20"</f>
        <v>20</v>
      </c>
      <c r="E578" t="str">
        <f>"102-23-20"</f>
        <v>102-23-20</v>
      </c>
      <c r="F578" t="s">
        <v>27</v>
      </c>
      <c r="G578" t="s">
        <v>29</v>
      </c>
      <c r="H578">
        <v>3</v>
      </c>
      <c r="M578">
        <v>1</v>
      </c>
      <c r="N578">
        <v>0</v>
      </c>
      <c r="O578">
        <v>1</v>
      </c>
      <c r="P578">
        <v>1</v>
      </c>
      <c r="Q578">
        <v>0</v>
      </c>
      <c r="R578">
        <v>1</v>
      </c>
      <c r="S578">
        <v>0</v>
      </c>
      <c r="T578">
        <v>1</v>
      </c>
      <c r="U578">
        <v>0</v>
      </c>
      <c r="V578">
        <v>1</v>
      </c>
      <c r="Y578">
        <v>1</v>
      </c>
      <c r="Z578">
        <v>0</v>
      </c>
    </row>
    <row r="579" spans="1:26" x14ac:dyDescent="0.25">
      <c r="A579" t="str">
        <f>"575"</f>
        <v>575</v>
      </c>
      <c r="B579" t="str">
        <f t="shared" si="29"/>
        <v>102</v>
      </c>
      <c r="C579" t="str">
        <f t="shared" si="31"/>
        <v>23</v>
      </c>
      <c r="D579" t="str">
        <f>"8"</f>
        <v>8</v>
      </c>
      <c r="E579" t="str">
        <f>"102-23-8"</f>
        <v>102-23-8</v>
      </c>
      <c r="F579" t="s">
        <v>27</v>
      </c>
      <c r="G579" t="s">
        <v>29</v>
      </c>
      <c r="H579">
        <v>3</v>
      </c>
      <c r="M579">
        <v>1</v>
      </c>
      <c r="N579">
        <v>0</v>
      </c>
      <c r="O579">
        <v>1</v>
      </c>
      <c r="P579">
        <v>1</v>
      </c>
      <c r="Q579">
        <v>0</v>
      </c>
      <c r="R579">
        <v>1</v>
      </c>
      <c r="S579">
        <v>0</v>
      </c>
      <c r="T579">
        <v>1</v>
      </c>
      <c r="U579">
        <v>0</v>
      </c>
      <c r="V579">
        <v>1</v>
      </c>
      <c r="Y579">
        <v>1</v>
      </c>
      <c r="Z579">
        <v>0</v>
      </c>
    </row>
    <row r="580" spans="1:26" x14ac:dyDescent="0.25">
      <c r="A580" t="str">
        <f>"576"</f>
        <v>576</v>
      </c>
      <c r="B580" t="str">
        <f t="shared" si="29"/>
        <v>102</v>
      </c>
      <c r="C580" t="str">
        <f t="shared" ref="C580:C604" si="32">"24"</f>
        <v>24</v>
      </c>
      <c r="D580" t="str">
        <f>"22"</f>
        <v>22</v>
      </c>
      <c r="E580" t="str">
        <f>"102-24-22"</f>
        <v>102-24-22</v>
      </c>
      <c r="F580" t="s">
        <v>27</v>
      </c>
      <c r="G580" t="s">
        <v>28</v>
      </c>
      <c r="H580">
        <v>1</v>
      </c>
      <c r="Q580">
        <v>0</v>
      </c>
      <c r="R580">
        <v>1</v>
      </c>
      <c r="S580">
        <v>0</v>
      </c>
      <c r="T580">
        <v>1</v>
      </c>
      <c r="U580">
        <v>0</v>
      </c>
      <c r="V580">
        <v>1</v>
      </c>
    </row>
    <row r="581" spans="1:26" x14ac:dyDescent="0.25">
      <c r="A581" t="str">
        <f>"577"</f>
        <v>577</v>
      </c>
      <c r="B581" t="str">
        <f t="shared" ref="B581:B644" si="33">"102"</f>
        <v>102</v>
      </c>
      <c r="C581" t="str">
        <f t="shared" si="32"/>
        <v>24</v>
      </c>
      <c r="D581" t="str">
        <f>"11"</f>
        <v>11</v>
      </c>
      <c r="E581" t="str">
        <f>"102-24-11"</f>
        <v>102-24-11</v>
      </c>
      <c r="F581" t="s">
        <v>27</v>
      </c>
      <c r="G581" t="s">
        <v>28</v>
      </c>
      <c r="H581">
        <v>1</v>
      </c>
      <c r="Q581">
        <v>0</v>
      </c>
      <c r="R581">
        <v>1</v>
      </c>
      <c r="S581">
        <v>0</v>
      </c>
      <c r="T581">
        <v>1</v>
      </c>
      <c r="U581">
        <v>0</v>
      </c>
      <c r="V581">
        <v>1</v>
      </c>
    </row>
    <row r="582" spans="1:26" x14ac:dyDescent="0.25">
      <c r="A582" t="str">
        <f>"578"</f>
        <v>578</v>
      </c>
      <c r="B582" t="str">
        <f t="shared" si="33"/>
        <v>102</v>
      </c>
      <c r="C582" t="str">
        <f t="shared" si="32"/>
        <v>24</v>
      </c>
      <c r="D582" t="str">
        <f>"3"</f>
        <v>3</v>
      </c>
      <c r="E582" t="str">
        <f>"102-24-3"</f>
        <v>102-24-3</v>
      </c>
      <c r="F582" t="s">
        <v>27</v>
      </c>
      <c r="G582" t="s">
        <v>28</v>
      </c>
      <c r="H582">
        <v>1</v>
      </c>
      <c r="Q582">
        <v>0</v>
      </c>
      <c r="R582">
        <v>1</v>
      </c>
      <c r="S582">
        <v>0</v>
      </c>
      <c r="T582">
        <v>1</v>
      </c>
      <c r="U582">
        <v>0</v>
      </c>
      <c r="V582">
        <v>1</v>
      </c>
    </row>
    <row r="583" spans="1:26" x14ac:dyDescent="0.25">
      <c r="A583" t="str">
        <f>"579"</f>
        <v>579</v>
      </c>
      <c r="B583" t="str">
        <f t="shared" si="33"/>
        <v>102</v>
      </c>
      <c r="C583" t="str">
        <f t="shared" si="32"/>
        <v>24</v>
      </c>
      <c r="D583" t="str">
        <f>"25"</f>
        <v>25</v>
      </c>
      <c r="E583" t="str">
        <f>"102-24-25"</f>
        <v>102-24-25</v>
      </c>
      <c r="F583" t="s">
        <v>27</v>
      </c>
      <c r="G583" t="s">
        <v>28</v>
      </c>
      <c r="H583">
        <v>1</v>
      </c>
      <c r="Q583">
        <v>0</v>
      </c>
      <c r="R583">
        <v>1</v>
      </c>
      <c r="S583">
        <v>0</v>
      </c>
      <c r="T583">
        <v>1</v>
      </c>
      <c r="U583">
        <v>1</v>
      </c>
      <c r="V583">
        <v>0</v>
      </c>
    </row>
    <row r="584" spans="1:26" x14ac:dyDescent="0.25">
      <c r="A584" t="str">
        <f>"580"</f>
        <v>580</v>
      </c>
      <c r="B584" t="str">
        <f t="shared" si="33"/>
        <v>102</v>
      </c>
      <c r="C584" t="str">
        <f t="shared" si="32"/>
        <v>24</v>
      </c>
      <c r="D584" t="str">
        <f>"21"</f>
        <v>21</v>
      </c>
      <c r="E584" t="str">
        <f>"102-24-21"</f>
        <v>102-24-21</v>
      </c>
      <c r="F584" t="s">
        <v>27</v>
      </c>
      <c r="G584" t="s">
        <v>28</v>
      </c>
      <c r="H584">
        <v>1</v>
      </c>
      <c r="Q584">
        <v>1</v>
      </c>
      <c r="R584">
        <v>0</v>
      </c>
      <c r="S584">
        <v>1</v>
      </c>
      <c r="T584">
        <v>0</v>
      </c>
      <c r="U584">
        <v>1</v>
      </c>
      <c r="V584">
        <v>0</v>
      </c>
    </row>
    <row r="585" spans="1:26" x14ac:dyDescent="0.25">
      <c r="A585" t="str">
        <f>"581"</f>
        <v>581</v>
      </c>
      <c r="B585" t="str">
        <f t="shared" si="33"/>
        <v>102</v>
      </c>
      <c r="C585" t="str">
        <f t="shared" si="32"/>
        <v>24</v>
      </c>
      <c r="D585" t="str">
        <f>"12"</f>
        <v>12</v>
      </c>
      <c r="E585" t="str">
        <f>"102-24-12"</f>
        <v>102-24-12</v>
      </c>
      <c r="F585" t="s">
        <v>27</v>
      </c>
      <c r="G585" t="s">
        <v>28</v>
      </c>
      <c r="H585">
        <v>1</v>
      </c>
      <c r="Q585">
        <v>1</v>
      </c>
      <c r="R585">
        <v>0</v>
      </c>
      <c r="S585">
        <v>0</v>
      </c>
      <c r="T585">
        <v>1</v>
      </c>
      <c r="U585">
        <v>1</v>
      </c>
      <c r="V585">
        <v>0</v>
      </c>
    </row>
    <row r="586" spans="1:26" x14ac:dyDescent="0.25">
      <c r="A586" t="str">
        <f>"582"</f>
        <v>582</v>
      </c>
      <c r="B586" t="str">
        <f t="shared" si="33"/>
        <v>102</v>
      </c>
      <c r="C586" t="str">
        <f t="shared" si="32"/>
        <v>24</v>
      </c>
      <c r="D586" t="str">
        <f>"8"</f>
        <v>8</v>
      </c>
      <c r="E586" t="str">
        <f>"102-24-8"</f>
        <v>102-24-8</v>
      </c>
      <c r="F586" t="s">
        <v>27</v>
      </c>
      <c r="G586" t="s">
        <v>28</v>
      </c>
      <c r="H586">
        <v>1</v>
      </c>
      <c r="Q586">
        <v>0</v>
      </c>
      <c r="R586">
        <v>1</v>
      </c>
      <c r="S586">
        <v>0</v>
      </c>
      <c r="T586">
        <v>1</v>
      </c>
      <c r="U586">
        <v>0</v>
      </c>
      <c r="V586">
        <v>1</v>
      </c>
    </row>
    <row r="587" spans="1:26" x14ac:dyDescent="0.25">
      <c r="A587" t="str">
        <f>"583"</f>
        <v>583</v>
      </c>
      <c r="B587" t="str">
        <f t="shared" si="33"/>
        <v>102</v>
      </c>
      <c r="C587" t="str">
        <f t="shared" si="32"/>
        <v>24</v>
      </c>
      <c r="D587" t="str">
        <f>"23"</f>
        <v>23</v>
      </c>
      <c r="E587" t="str">
        <f>"102-24-23"</f>
        <v>102-24-23</v>
      </c>
      <c r="F587" t="s">
        <v>27</v>
      </c>
      <c r="G587" t="s">
        <v>28</v>
      </c>
      <c r="H587">
        <v>1</v>
      </c>
      <c r="Q587">
        <v>0</v>
      </c>
      <c r="R587">
        <v>1</v>
      </c>
      <c r="S587">
        <v>0</v>
      </c>
      <c r="T587">
        <v>1</v>
      </c>
      <c r="U587">
        <v>1</v>
      </c>
      <c r="V587">
        <v>0</v>
      </c>
    </row>
    <row r="588" spans="1:26" x14ac:dyDescent="0.25">
      <c r="A588" t="str">
        <f>"584"</f>
        <v>584</v>
      </c>
      <c r="B588" t="str">
        <f t="shared" si="33"/>
        <v>102</v>
      </c>
      <c r="C588" t="str">
        <f t="shared" si="32"/>
        <v>24</v>
      </c>
      <c r="D588" t="str">
        <f>"13"</f>
        <v>13</v>
      </c>
      <c r="E588" t="str">
        <f>"102-24-13"</f>
        <v>102-24-13</v>
      </c>
      <c r="F588" t="s">
        <v>27</v>
      </c>
      <c r="G588" t="s">
        <v>28</v>
      </c>
      <c r="H588">
        <v>1</v>
      </c>
      <c r="Q588">
        <v>0</v>
      </c>
      <c r="R588">
        <v>1</v>
      </c>
      <c r="S588">
        <v>0</v>
      </c>
      <c r="T588">
        <v>1</v>
      </c>
      <c r="U588">
        <v>1</v>
      </c>
      <c r="V588">
        <v>0</v>
      </c>
    </row>
    <row r="589" spans="1:26" x14ac:dyDescent="0.25">
      <c r="A589" t="str">
        <f>"585"</f>
        <v>585</v>
      </c>
      <c r="B589" t="str">
        <f t="shared" si="33"/>
        <v>102</v>
      </c>
      <c r="C589" t="str">
        <f t="shared" si="32"/>
        <v>24</v>
      </c>
      <c r="D589" t="str">
        <f>"4"</f>
        <v>4</v>
      </c>
      <c r="E589" t="str">
        <f>"102-24-4"</f>
        <v>102-24-4</v>
      </c>
      <c r="F589" t="s">
        <v>27</v>
      </c>
      <c r="G589" t="s">
        <v>28</v>
      </c>
      <c r="H589">
        <v>1</v>
      </c>
      <c r="Q589">
        <v>0</v>
      </c>
      <c r="R589">
        <v>1</v>
      </c>
      <c r="S589">
        <v>0</v>
      </c>
      <c r="T589">
        <v>1</v>
      </c>
      <c r="U589">
        <v>0</v>
      </c>
      <c r="V589">
        <v>1</v>
      </c>
    </row>
    <row r="590" spans="1:26" x14ac:dyDescent="0.25">
      <c r="A590" t="str">
        <f>"586"</f>
        <v>586</v>
      </c>
      <c r="B590" t="str">
        <f t="shared" si="33"/>
        <v>102</v>
      </c>
      <c r="C590" t="str">
        <f t="shared" si="32"/>
        <v>24</v>
      </c>
      <c r="D590" t="str">
        <f>"24"</f>
        <v>24</v>
      </c>
      <c r="E590" t="str">
        <f>"102-24-24"</f>
        <v>102-24-24</v>
      </c>
      <c r="F590" t="s">
        <v>27</v>
      </c>
      <c r="G590" t="s">
        <v>28</v>
      </c>
      <c r="H590">
        <v>1</v>
      </c>
      <c r="Q590">
        <v>0</v>
      </c>
      <c r="R590">
        <v>1</v>
      </c>
      <c r="S590">
        <v>0</v>
      </c>
      <c r="T590">
        <v>1</v>
      </c>
      <c r="U590">
        <v>0</v>
      </c>
      <c r="V590">
        <v>1</v>
      </c>
    </row>
    <row r="591" spans="1:26" x14ac:dyDescent="0.25">
      <c r="A591" t="str">
        <f>"587"</f>
        <v>587</v>
      </c>
      <c r="B591" t="str">
        <f t="shared" si="33"/>
        <v>102</v>
      </c>
      <c r="C591" t="str">
        <f t="shared" si="32"/>
        <v>24</v>
      </c>
      <c r="D591" t="str">
        <f>"14"</f>
        <v>14</v>
      </c>
      <c r="E591" t="str">
        <f>"102-24-14"</f>
        <v>102-24-14</v>
      </c>
      <c r="F591" t="s">
        <v>27</v>
      </c>
      <c r="G591" t="s">
        <v>28</v>
      </c>
      <c r="H591">
        <v>1</v>
      </c>
      <c r="Q591">
        <v>1</v>
      </c>
      <c r="R591">
        <v>0</v>
      </c>
      <c r="S591">
        <v>0</v>
      </c>
      <c r="T591">
        <v>1</v>
      </c>
      <c r="U591">
        <v>0</v>
      </c>
      <c r="V591">
        <v>1</v>
      </c>
    </row>
    <row r="592" spans="1:26" x14ac:dyDescent="0.25">
      <c r="A592" t="str">
        <f>"588"</f>
        <v>588</v>
      </c>
      <c r="B592" t="str">
        <f t="shared" si="33"/>
        <v>102</v>
      </c>
      <c r="C592" t="str">
        <f t="shared" si="32"/>
        <v>24</v>
      </c>
      <c r="D592" t="str">
        <f>"10"</f>
        <v>10</v>
      </c>
      <c r="E592" t="str">
        <f>"102-24-10"</f>
        <v>102-24-10</v>
      </c>
      <c r="F592" t="s">
        <v>27</v>
      </c>
      <c r="G592" t="s">
        <v>28</v>
      </c>
      <c r="H592">
        <v>1</v>
      </c>
      <c r="Q592">
        <v>1</v>
      </c>
      <c r="R592">
        <v>0</v>
      </c>
      <c r="S592">
        <v>1</v>
      </c>
      <c r="T592">
        <v>0</v>
      </c>
      <c r="U592">
        <v>1</v>
      </c>
      <c r="V592">
        <v>0</v>
      </c>
    </row>
    <row r="593" spans="1:22" x14ac:dyDescent="0.25">
      <c r="A593" t="str">
        <f>"589"</f>
        <v>589</v>
      </c>
      <c r="B593" t="str">
        <f t="shared" si="33"/>
        <v>102</v>
      </c>
      <c r="C593" t="str">
        <f t="shared" si="32"/>
        <v>24</v>
      </c>
      <c r="D593" t="str">
        <f>"15"</f>
        <v>15</v>
      </c>
      <c r="E593" t="str">
        <f>"102-24-15"</f>
        <v>102-24-15</v>
      </c>
      <c r="F593" t="s">
        <v>27</v>
      </c>
      <c r="G593" t="s">
        <v>28</v>
      </c>
      <c r="H593">
        <v>1</v>
      </c>
      <c r="Q593">
        <v>0</v>
      </c>
      <c r="R593">
        <v>1</v>
      </c>
      <c r="S593">
        <v>0</v>
      </c>
      <c r="T593">
        <v>1</v>
      </c>
      <c r="U593">
        <v>0</v>
      </c>
      <c r="V593">
        <v>1</v>
      </c>
    </row>
    <row r="594" spans="1:22" x14ac:dyDescent="0.25">
      <c r="A594" t="str">
        <f>"590"</f>
        <v>590</v>
      </c>
      <c r="B594" t="str">
        <f t="shared" si="33"/>
        <v>102</v>
      </c>
      <c r="C594" t="str">
        <f t="shared" si="32"/>
        <v>24</v>
      </c>
      <c r="D594" t="str">
        <f>"7"</f>
        <v>7</v>
      </c>
      <c r="E594" t="str">
        <f>"102-24-7"</f>
        <v>102-24-7</v>
      </c>
      <c r="F594" t="s">
        <v>27</v>
      </c>
      <c r="G594" t="s">
        <v>28</v>
      </c>
      <c r="H594">
        <v>1</v>
      </c>
      <c r="Q594">
        <v>1</v>
      </c>
      <c r="R594">
        <v>0</v>
      </c>
      <c r="S594">
        <v>1</v>
      </c>
      <c r="T594">
        <v>0</v>
      </c>
      <c r="U594">
        <v>1</v>
      </c>
      <c r="V594">
        <v>0</v>
      </c>
    </row>
    <row r="595" spans="1:22" x14ac:dyDescent="0.25">
      <c r="A595" t="str">
        <f>"591"</f>
        <v>591</v>
      </c>
      <c r="B595" t="str">
        <f t="shared" si="33"/>
        <v>102</v>
      </c>
      <c r="C595" t="str">
        <f t="shared" si="32"/>
        <v>24</v>
      </c>
      <c r="D595" t="str">
        <f>"16"</f>
        <v>16</v>
      </c>
      <c r="E595" t="str">
        <f>"102-24-16"</f>
        <v>102-24-16</v>
      </c>
      <c r="F595" t="s">
        <v>27</v>
      </c>
      <c r="G595" t="s">
        <v>28</v>
      </c>
      <c r="H595">
        <v>1</v>
      </c>
      <c r="Q595">
        <v>0</v>
      </c>
      <c r="R595">
        <v>1</v>
      </c>
      <c r="S595">
        <v>0</v>
      </c>
      <c r="T595">
        <v>1</v>
      </c>
      <c r="U595">
        <v>0</v>
      </c>
      <c r="V595">
        <v>1</v>
      </c>
    </row>
    <row r="596" spans="1:22" x14ac:dyDescent="0.25">
      <c r="A596" t="str">
        <f>"592"</f>
        <v>592</v>
      </c>
      <c r="B596" t="str">
        <f t="shared" si="33"/>
        <v>102</v>
      </c>
      <c r="C596" t="str">
        <f t="shared" si="32"/>
        <v>24</v>
      </c>
      <c r="D596" t="str">
        <f>"5"</f>
        <v>5</v>
      </c>
      <c r="E596" t="str">
        <f>"102-24-5"</f>
        <v>102-24-5</v>
      </c>
      <c r="F596" t="s">
        <v>27</v>
      </c>
      <c r="G596" t="s">
        <v>28</v>
      </c>
      <c r="H596">
        <v>1</v>
      </c>
      <c r="Q596">
        <v>0</v>
      </c>
      <c r="R596">
        <v>1</v>
      </c>
      <c r="S596">
        <v>0</v>
      </c>
      <c r="T596">
        <v>1</v>
      </c>
      <c r="U596">
        <v>0</v>
      </c>
      <c r="V596">
        <v>1</v>
      </c>
    </row>
    <row r="597" spans="1:22" x14ac:dyDescent="0.25">
      <c r="A597" t="str">
        <f>"593"</f>
        <v>593</v>
      </c>
      <c r="B597" t="str">
        <f t="shared" si="33"/>
        <v>102</v>
      </c>
      <c r="C597" t="str">
        <f t="shared" si="32"/>
        <v>24</v>
      </c>
      <c r="D597" t="str">
        <f>"17"</f>
        <v>17</v>
      </c>
      <c r="E597" t="str">
        <f>"102-24-17"</f>
        <v>102-24-17</v>
      </c>
      <c r="F597" t="s">
        <v>27</v>
      </c>
      <c r="G597" t="s">
        <v>28</v>
      </c>
      <c r="H597">
        <v>1</v>
      </c>
      <c r="Q597">
        <v>0</v>
      </c>
      <c r="R597">
        <v>1</v>
      </c>
      <c r="S597">
        <v>0</v>
      </c>
      <c r="T597">
        <v>1</v>
      </c>
      <c r="U597">
        <v>0</v>
      </c>
      <c r="V597">
        <v>1</v>
      </c>
    </row>
    <row r="598" spans="1:22" x14ac:dyDescent="0.25">
      <c r="A598" t="str">
        <f>"594"</f>
        <v>594</v>
      </c>
      <c r="B598" t="str">
        <f t="shared" si="33"/>
        <v>102</v>
      </c>
      <c r="C598" t="str">
        <f t="shared" si="32"/>
        <v>24</v>
      </c>
      <c r="D598" t="str">
        <f>"1"</f>
        <v>1</v>
      </c>
      <c r="E598" t="str">
        <f>"102-24-1"</f>
        <v>102-24-1</v>
      </c>
      <c r="F598" t="s">
        <v>27</v>
      </c>
      <c r="G598" t="s">
        <v>28</v>
      </c>
      <c r="H598">
        <v>1</v>
      </c>
      <c r="Q598">
        <v>0</v>
      </c>
      <c r="R598">
        <v>1</v>
      </c>
      <c r="S598">
        <v>0</v>
      </c>
      <c r="T598">
        <v>1</v>
      </c>
      <c r="U598">
        <v>0</v>
      </c>
      <c r="V598">
        <v>1</v>
      </c>
    </row>
    <row r="599" spans="1:22" x14ac:dyDescent="0.25">
      <c r="A599" t="str">
        <f>"595"</f>
        <v>595</v>
      </c>
      <c r="B599" t="str">
        <f t="shared" si="33"/>
        <v>102</v>
      </c>
      <c r="C599" t="str">
        <f t="shared" si="32"/>
        <v>24</v>
      </c>
      <c r="D599" t="str">
        <f>"18"</f>
        <v>18</v>
      </c>
      <c r="E599" t="str">
        <f>"102-24-18"</f>
        <v>102-24-18</v>
      </c>
      <c r="F599" t="s">
        <v>27</v>
      </c>
      <c r="G599" t="s">
        <v>28</v>
      </c>
      <c r="H599">
        <v>1</v>
      </c>
      <c r="Q599">
        <v>1</v>
      </c>
      <c r="R599">
        <v>0</v>
      </c>
      <c r="S599">
        <v>1</v>
      </c>
      <c r="T599">
        <v>0</v>
      </c>
      <c r="U599">
        <v>0</v>
      </c>
      <c r="V599">
        <v>1</v>
      </c>
    </row>
    <row r="600" spans="1:22" x14ac:dyDescent="0.25">
      <c r="A600" t="str">
        <f>"596"</f>
        <v>596</v>
      </c>
      <c r="B600" t="str">
        <f t="shared" si="33"/>
        <v>102</v>
      </c>
      <c r="C600" t="str">
        <f t="shared" si="32"/>
        <v>24</v>
      </c>
      <c r="D600" t="str">
        <f>"2"</f>
        <v>2</v>
      </c>
      <c r="E600" t="str">
        <f>"102-24-2"</f>
        <v>102-24-2</v>
      </c>
      <c r="F600" t="s">
        <v>27</v>
      </c>
      <c r="G600" t="s">
        <v>28</v>
      </c>
      <c r="H600">
        <v>1</v>
      </c>
      <c r="Q600">
        <v>1</v>
      </c>
      <c r="R600">
        <v>0</v>
      </c>
      <c r="S600">
        <v>1</v>
      </c>
      <c r="T600">
        <v>0</v>
      </c>
      <c r="U600">
        <v>1</v>
      </c>
      <c r="V600">
        <v>0</v>
      </c>
    </row>
    <row r="601" spans="1:22" x14ac:dyDescent="0.25">
      <c r="A601" t="str">
        <f>"597"</f>
        <v>597</v>
      </c>
      <c r="B601" t="str">
        <f t="shared" si="33"/>
        <v>102</v>
      </c>
      <c r="C601" t="str">
        <f t="shared" si="32"/>
        <v>24</v>
      </c>
      <c r="D601" t="str">
        <f>"19"</f>
        <v>19</v>
      </c>
      <c r="E601" t="str">
        <f>"102-24-19"</f>
        <v>102-24-19</v>
      </c>
      <c r="F601" t="s">
        <v>27</v>
      </c>
      <c r="G601" t="s">
        <v>28</v>
      </c>
      <c r="H601">
        <v>1</v>
      </c>
      <c r="Q601">
        <v>0</v>
      </c>
      <c r="R601">
        <v>1</v>
      </c>
      <c r="S601">
        <v>0</v>
      </c>
      <c r="T601">
        <v>1</v>
      </c>
      <c r="U601">
        <v>0</v>
      </c>
      <c r="V601">
        <v>1</v>
      </c>
    </row>
    <row r="602" spans="1:22" x14ac:dyDescent="0.25">
      <c r="A602" t="str">
        <f>"598"</f>
        <v>598</v>
      </c>
      <c r="B602" t="str">
        <f t="shared" si="33"/>
        <v>102</v>
      </c>
      <c r="C602" t="str">
        <f t="shared" si="32"/>
        <v>24</v>
      </c>
      <c r="D602" t="str">
        <f>"6"</f>
        <v>6</v>
      </c>
      <c r="E602" t="str">
        <f>"102-24-6"</f>
        <v>102-24-6</v>
      </c>
      <c r="F602" t="s">
        <v>27</v>
      </c>
      <c r="G602" t="s">
        <v>28</v>
      </c>
      <c r="H602">
        <v>1</v>
      </c>
      <c r="Q602">
        <v>0</v>
      </c>
      <c r="R602">
        <v>1</v>
      </c>
      <c r="S602">
        <v>0</v>
      </c>
      <c r="T602">
        <v>1</v>
      </c>
      <c r="U602">
        <v>0</v>
      </c>
      <c r="V602">
        <v>1</v>
      </c>
    </row>
    <row r="603" spans="1:22" x14ac:dyDescent="0.25">
      <c r="A603" t="str">
        <f>"599"</f>
        <v>599</v>
      </c>
      <c r="B603" t="str">
        <f t="shared" si="33"/>
        <v>102</v>
      </c>
      <c r="C603" t="str">
        <f t="shared" si="32"/>
        <v>24</v>
      </c>
      <c r="D603" t="str">
        <f>"20"</f>
        <v>20</v>
      </c>
      <c r="E603" t="str">
        <f>"102-24-20"</f>
        <v>102-24-20</v>
      </c>
      <c r="F603" t="s">
        <v>27</v>
      </c>
      <c r="G603" t="s">
        <v>28</v>
      </c>
      <c r="H603">
        <v>1</v>
      </c>
      <c r="Q603">
        <v>0</v>
      </c>
      <c r="R603">
        <v>1</v>
      </c>
      <c r="S603">
        <v>0</v>
      </c>
      <c r="T603">
        <v>1</v>
      </c>
      <c r="U603">
        <v>0</v>
      </c>
      <c r="V603">
        <v>1</v>
      </c>
    </row>
    <row r="604" spans="1:22" x14ac:dyDescent="0.25">
      <c r="A604" t="str">
        <f>"600"</f>
        <v>600</v>
      </c>
      <c r="B604" t="str">
        <f t="shared" si="33"/>
        <v>102</v>
      </c>
      <c r="C604" t="str">
        <f t="shared" si="32"/>
        <v>24</v>
      </c>
      <c r="D604" t="str">
        <f>"9"</f>
        <v>9</v>
      </c>
      <c r="E604" t="str">
        <f>"102-24-9"</f>
        <v>102-24-9</v>
      </c>
      <c r="F604" t="s">
        <v>27</v>
      </c>
      <c r="G604" t="s">
        <v>28</v>
      </c>
      <c r="H604">
        <v>1</v>
      </c>
      <c r="Q604">
        <v>1</v>
      </c>
      <c r="R604">
        <v>0</v>
      </c>
      <c r="S604">
        <v>1</v>
      </c>
      <c r="T604">
        <v>0</v>
      </c>
      <c r="U604">
        <v>0</v>
      </c>
      <c r="V604">
        <v>1</v>
      </c>
    </row>
    <row r="605" spans="1:22" x14ac:dyDescent="0.25">
      <c r="A605" t="str">
        <f>"601"</f>
        <v>601</v>
      </c>
      <c r="B605" t="str">
        <f t="shared" si="33"/>
        <v>102</v>
      </c>
      <c r="C605" t="str">
        <f t="shared" ref="C605:C629" si="34">"25"</f>
        <v>25</v>
      </c>
      <c r="D605" t="str">
        <f>"21"</f>
        <v>21</v>
      </c>
      <c r="E605" t="str">
        <f>"102-25-21"</f>
        <v>102-25-21</v>
      </c>
      <c r="F605" t="s">
        <v>27</v>
      </c>
      <c r="G605" t="s">
        <v>28</v>
      </c>
      <c r="H605">
        <v>1</v>
      </c>
      <c r="Q605">
        <v>0</v>
      </c>
      <c r="R605">
        <v>1</v>
      </c>
      <c r="S605">
        <v>0</v>
      </c>
      <c r="T605">
        <v>1</v>
      </c>
      <c r="U605">
        <v>0</v>
      </c>
      <c r="V605">
        <v>1</v>
      </c>
    </row>
    <row r="606" spans="1:22" x14ac:dyDescent="0.25">
      <c r="A606" t="str">
        <f>"602"</f>
        <v>602</v>
      </c>
      <c r="B606" t="str">
        <f t="shared" si="33"/>
        <v>102</v>
      </c>
      <c r="C606" t="str">
        <f t="shared" si="34"/>
        <v>25</v>
      </c>
      <c r="D606" t="str">
        <f>"11"</f>
        <v>11</v>
      </c>
      <c r="E606" t="str">
        <f>"102-25-11"</f>
        <v>102-25-11</v>
      </c>
      <c r="F606" t="s">
        <v>27</v>
      </c>
      <c r="G606" t="s">
        <v>28</v>
      </c>
      <c r="H606">
        <v>1</v>
      </c>
      <c r="Q606">
        <v>1</v>
      </c>
      <c r="R606">
        <v>0</v>
      </c>
      <c r="S606">
        <v>1</v>
      </c>
      <c r="T606">
        <v>0</v>
      </c>
      <c r="U606">
        <v>0</v>
      </c>
      <c r="V606">
        <v>1</v>
      </c>
    </row>
    <row r="607" spans="1:22" x14ac:dyDescent="0.25">
      <c r="A607" t="str">
        <f>"603"</f>
        <v>603</v>
      </c>
      <c r="B607" t="str">
        <f t="shared" si="33"/>
        <v>102</v>
      </c>
      <c r="C607" t="str">
        <f t="shared" si="34"/>
        <v>25</v>
      </c>
      <c r="D607" t="str">
        <f>"1"</f>
        <v>1</v>
      </c>
      <c r="E607" t="str">
        <f>"102-25-1"</f>
        <v>102-25-1</v>
      </c>
      <c r="F607" t="s">
        <v>27</v>
      </c>
      <c r="G607" t="s">
        <v>28</v>
      </c>
      <c r="H607">
        <v>1</v>
      </c>
      <c r="Q607">
        <v>0</v>
      </c>
      <c r="R607">
        <v>1</v>
      </c>
      <c r="S607">
        <v>0</v>
      </c>
      <c r="T607">
        <v>1</v>
      </c>
      <c r="U607">
        <v>0</v>
      </c>
      <c r="V607">
        <v>1</v>
      </c>
    </row>
    <row r="608" spans="1:22" x14ac:dyDescent="0.25">
      <c r="A608" t="str">
        <f>"604"</f>
        <v>604</v>
      </c>
      <c r="B608" t="str">
        <f t="shared" si="33"/>
        <v>102</v>
      </c>
      <c r="C608" t="str">
        <f t="shared" si="34"/>
        <v>25</v>
      </c>
      <c r="D608" t="str">
        <f>"23"</f>
        <v>23</v>
      </c>
      <c r="E608" t="str">
        <f>"102-25-23"</f>
        <v>102-25-23</v>
      </c>
      <c r="F608" t="s">
        <v>27</v>
      </c>
      <c r="G608" t="s">
        <v>28</v>
      </c>
      <c r="H608">
        <v>1</v>
      </c>
      <c r="Q608">
        <v>1</v>
      </c>
      <c r="R608">
        <v>0</v>
      </c>
      <c r="S608">
        <v>1</v>
      </c>
      <c r="T608">
        <v>0</v>
      </c>
      <c r="U608">
        <v>0</v>
      </c>
      <c r="V608">
        <v>1</v>
      </c>
    </row>
    <row r="609" spans="1:26" x14ac:dyDescent="0.25">
      <c r="A609" t="str">
        <f>"605"</f>
        <v>605</v>
      </c>
      <c r="B609" t="str">
        <f t="shared" si="33"/>
        <v>102</v>
      </c>
      <c r="C609" t="str">
        <f t="shared" si="34"/>
        <v>25</v>
      </c>
      <c r="D609" t="str">
        <f>"12"</f>
        <v>12</v>
      </c>
      <c r="E609" t="str">
        <f>"102-25-12"</f>
        <v>102-25-12</v>
      </c>
      <c r="F609" t="s">
        <v>27</v>
      </c>
      <c r="G609" t="s">
        <v>28</v>
      </c>
      <c r="H609">
        <v>1</v>
      </c>
      <c r="Q609">
        <v>1</v>
      </c>
      <c r="R609">
        <v>0</v>
      </c>
      <c r="S609">
        <v>0</v>
      </c>
      <c r="T609">
        <v>1</v>
      </c>
      <c r="U609">
        <v>0</v>
      </c>
      <c r="V609">
        <v>1</v>
      </c>
    </row>
    <row r="610" spans="1:26" x14ac:dyDescent="0.25">
      <c r="A610" t="str">
        <f>"606"</f>
        <v>606</v>
      </c>
      <c r="B610" t="str">
        <f t="shared" si="33"/>
        <v>102</v>
      </c>
      <c r="C610" t="str">
        <f t="shared" si="34"/>
        <v>25</v>
      </c>
      <c r="D610" t="str">
        <f>"2"</f>
        <v>2</v>
      </c>
      <c r="E610" t="str">
        <f>"102-25-2"</f>
        <v>102-25-2</v>
      </c>
      <c r="F610" t="s">
        <v>27</v>
      </c>
      <c r="G610" t="s">
        <v>28</v>
      </c>
      <c r="H610">
        <v>1</v>
      </c>
      <c r="Q610">
        <v>1</v>
      </c>
      <c r="R610">
        <v>0</v>
      </c>
      <c r="S610">
        <v>0</v>
      </c>
      <c r="T610">
        <v>1</v>
      </c>
      <c r="U610">
        <v>1</v>
      </c>
      <c r="V610">
        <v>0</v>
      </c>
    </row>
    <row r="611" spans="1:26" x14ac:dyDescent="0.25">
      <c r="A611" t="str">
        <f>"607"</f>
        <v>607</v>
      </c>
      <c r="B611" t="str">
        <f t="shared" si="33"/>
        <v>102</v>
      </c>
      <c r="C611" t="str">
        <f t="shared" si="34"/>
        <v>25</v>
      </c>
      <c r="D611" t="str">
        <f>"25"</f>
        <v>25</v>
      </c>
      <c r="E611" t="str">
        <f>"102-25-25"</f>
        <v>102-25-25</v>
      </c>
      <c r="F611" t="s">
        <v>27</v>
      </c>
      <c r="G611" t="s">
        <v>28</v>
      </c>
      <c r="H611">
        <v>1</v>
      </c>
      <c r="Q611">
        <v>1</v>
      </c>
      <c r="R611">
        <v>0</v>
      </c>
      <c r="S611">
        <v>1</v>
      </c>
      <c r="T611">
        <v>0</v>
      </c>
      <c r="U611">
        <v>0</v>
      </c>
      <c r="V611">
        <v>1</v>
      </c>
    </row>
    <row r="612" spans="1:26" x14ac:dyDescent="0.25">
      <c r="A612" t="str">
        <f>"608"</f>
        <v>608</v>
      </c>
      <c r="B612" t="str">
        <f t="shared" si="33"/>
        <v>102</v>
      </c>
      <c r="C612" t="str">
        <f t="shared" si="34"/>
        <v>25</v>
      </c>
      <c r="D612" t="str">
        <f>"13"</f>
        <v>13</v>
      </c>
      <c r="E612" t="str">
        <f>"102-25-13"</f>
        <v>102-25-13</v>
      </c>
      <c r="F612" t="s">
        <v>27</v>
      </c>
      <c r="G612" t="s">
        <v>28</v>
      </c>
      <c r="H612">
        <v>1</v>
      </c>
      <c r="Q612">
        <v>0</v>
      </c>
      <c r="R612">
        <v>1</v>
      </c>
      <c r="S612">
        <v>0</v>
      </c>
      <c r="T612">
        <v>1</v>
      </c>
      <c r="U612">
        <v>0</v>
      </c>
      <c r="V612">
        <v>1</v>
      </c>
    </row>
    <row r="613" spans="1:26" x14ac:dyDescent="0.25">
      <c r="A613" t="str">
        <f>"609"</f>
        <v>609</v>
      </c>
      <c r="B613" t="str">
        <f t="shared" si="33"/>
        <v>102</v>
      </c>
      <c r="C613" t="str">
        <f t="shared" si="34"/>
        <v>25</v>
      </c>
      <c r="D613" t="str">
        <f>"4"</f>
        <v>4</v>
      </c>
      <c r="E613" t="str">
        <f>"102-25-4"</f>
        <v>102-25-4</v>
      </c>
      <c r="F613" t="s">
        <v>27</v>
      </c>
      <c r="G613" t="s">
        <v>28</v>
      </c>
      <c r="H613">
        <v>1</v>
      </c>
      <c r="Q613">
        <v>1</v>
      </c>
      <c r="R613">
        <v>0</v>
      </c>
      <c r="S613">
        <v>1</v>
      </c>
      <c r="T613">
        <v>0</v>
      </c>
      <c r="U613">
        <v>1</v>
      </c>
      <c r="V613">
        <v>0</v>
      </c>
    </row>
    <row r="614" spans="1:26" x14ac:dyDescent="0.25">
      <c r="A614" t="str">
        <f>"610"</f>
        <v>610</v>
      </c>
      <c r="B614" t="str">
        <f t="shared" si="33"/>
        <v>102</v>
      </c>
      <c r="C614" t="str">
        <f t="shared" si="34"/>
        <v>25</v>
      </c>
      <c r="D614" t="str">
        <f>"24"</f>
        <v>24</v>
      </c>
      <c r="E614" t="str">
        <f>"102-25-24"</f>
        <v>102-25-24</v>
      </c>
      <c r="F614" t="s">
        <v>27</v>
      </c>
      <c r="G614" t="s">
        <v>28</v>
      </c>
      <c r="H614">
        <v>1</v>
      </c>
      <c r="Q614">
        <v>1</v>
      </c>
      <c r="R614">
        <v>0</v>
      </c>
      <c r="S614">
        <v>1</v>
      </c>
      <c r="T614">
        <v>0</v>
      </c>
      <c r="U614">
        <v>0</v>
      </c>
      <c r="V614">
        <v>1</v>
      </c>
    </row>
    <row r="615" spans="1:26" x14ac:dyDescent="0.25">
      <c r="A615" t="str">
        <f>"611"</f>
        <v>611</v>
      </c>
      <c r="B615" t="str">
        <f t="shared" si="33"/>
        <v>102</v>
      </c>
      <c r="C615" t="str">
        <f t="shared" si="34"/>
        <v>25</v>
      </c>
      <c r="D615" t="str">
        <f>"14"</f>
        <v>14</v>
      </c>
      <c r="E615" t="str">
        <f>"102-25-14"</f>
        <v>102-25-14</v>
      </c>
      <c r="F615" t="s">
        <v>27</v>
      </c>
      <c r="G615" t="s">
        <v>28</v>
      </c>
      <c r="H615">
        <v>1</v>
      </c>
      <c r="Q615">
        <v>1</v>
      </c>
      <c r="R615">
        <v>0</v>
      </c>
      <c r="S615">
        <v>1</v>
      </c>
      <c r="T615">
        <v>0</v>
      </c>
      <c r="U615">
        <v>1</v>
      </c>
      <c r="V615">
        <v>0</v>
      </c>
    </row>
    <row r="616" spans="1:26" x14ac:dyDescent="0.25">
      <c r="A616" t="str">
        <f>"612"</f>
        <v>612</v>
      </c>
      <c r="B616" t="str">
        <f t="shared" si="33"/>
        <v>102</v>
      </c>
      <c r="C616" t="str">
        <f t="shared" si="34"/>
        <v>25</v>
      </c>
      <c r="D616" t="str">
        <f>"5"</f>
        <v>5</v>
      </c>
      <c r="E616" t="str">
        <f>"102-25-5"</f>
        <v>102-25-5</v>
      </c>
      <c r="F616" t="s">
        <v>27</v>
      </c>
      <c r="G616" t="s">
        <v>28</v>
      </c>
      <c r="H616">
        <v>1</v>
      </c>
      <c r="Q616">
        <v>1</v>
      </c>
      <c r="R616">
        <v>0</v>
      </c>
      <c r="S616">
        <v>1</v>
      </c>
      <c r="T616">
        <v>0</v>
      </c>
      <c r="U616">
        <v>1</v>
      </c>
      <c r="V616">
        <v>0</v>
      </c>
    </row>
    <row r="617" spans="1:26" x14ac:dyDescent="0.25">
      <c r="A617" t="str">
        <f>"613"</f>
        <v>613</v>
      </c>
      <c r="B617" t="str">
        <f t="shared" si="33"/>
        <v>102</v>
      </c>
      <c r="C617" t="str">
        <f t="shared" si="34"/>
        <v>25</v>
      </c>
      <c r="D617" t="str">
        <f>"22"</f>
        <v>22</v>
      </c>
      <c r="E617" t="str">
        <f>"102-25-22"</f>
        <v>102-25-22</v>
      </c>
      <c r="F617" t="s">
        <v>27</v>
      </c>
      <c r="G617" t="s">
        <v>28</v>
      </c>
      <c r="H617">
        <v>1</v>
      </c>
      <c r="Q617">
        <v>1</v>
      </c>
      <c r="R617">
        <v>0</v>
      </c>
      <c r="S617">
        <v>0</v>
      </c>
      <c r="T617">
        <v>1</v>
      </c>
      <c r="U617">
        <v>0</v>
      </c>
      <c r="V617">
        <v>1</v>
      </c>
    </row>
    <row r="618" spans="1:26" x14ac:dyDescent="0.25">
      <c r="A618" t="str">
        <f>"614"</f>
        <v>614</v>
      </c>
      <c r="B618" t="str">
        <f t="shared" si="33"/>
        <v>102</v>
      </c>
      <c r="C618" t="str">
        <f t="shared" si="34"/>
        <v>25</v>
      </c>
      <c r="D618" t="str">
        <f>"15"</f>
        <v>15</v>
      </c>
      <c r="E618" t="str">
        <f>"102-25-15"</f>
        <v>102-25-15</v>
      </c>
      <c r="F618" t="s">
        <v>27</v>
      </c>
      <c r="G618" t="s">
        <v>28</v>
      </c>
      <c r="H618">
        <v>1</v>
      </c>
      <c r="Q618">
        <v>1</v>
      </c>
      <c r="R618">
        <v>0</v>
      </c>
      <c r="S618">
        <v>0</v>
      </c>
      <c r="T618">
        <v>1</v>
      </c>
      <c r="U618">
        <v>0</v>
      </c>
      <c r="V618">
        <v>1</v>
      </c>
    </row>
    <row r="619" spans="1:26" x14ac:dyDescent="0.25">
      <c r="A619" t="str">
        <f>"615"</f>
        <v>615</v>
      </c>
      <c r="B619" t="str">
        <f t="shared" si="33"/>
        <v>102</v>
      </c>
      <c r="C619" t="str">
        <f t="shared" si="34"/>
        <v>25</v>
      </c>
      <c r="D619" t="str">
        <f>"9"</f>
        <v>9</v>
      </c>
      <c r="E619" t="str">
        <f>"102-25-9"</f>
        <v>102-25-9</v>
      </c>
      <c r="F619" t="s">
        <v>27</v>
      </c>
      <c r="G619" t="s">
        <v>28</v>
      </c>
      <c r="H619">
        <v>1</v>
      </c>
      <c r="Q619">
        <v>0</v>
      </c>
      <c r="R619">
        <v>1</v>
      </c>
      <c r="S619">
        <v>1</v>
      </c>
      <c r="T619">
        <v>0</v>
      </c>
      <c r="U619">
        <v>1</v>
      </c>
      <c r="V619">
        <v>0</v>
      </c>
    </row>
    <row r="620" spans="1:26" x14ac:dyDescent="0.25">
      <c r="A620" t="str">
        <f>"616"</f>
        <v>616</v>
      </c>
      <c r="B620" t="str">
        <f t="shared" si="33"/>
        <v>102</v>
      </c>
      <c r="C620" t="str">
        <f t="shared" si="34"/>
        <v>25</v>
      </c>
      <c r="D620" t="str">
        <f>"16"</f>
        <v>16</v>
      </c>
      <c r="E620" t="str">
        <f>"102-25-16"</f>
        <v>102-25-16</v>
      </c>
      <c r="F620" t="s">
        <v>27</v>
      </c>
      <c r="G620" t="s">
        <v>29</v>
      </c>
      <c r="H620">
        <v>3</v>
      </c>
      <c r="M620">
        <v>0</v>
      </c>
      <c r="N620">
        <v>1</v>
      </c>
      <c r="O620">
        <v>0</v>
      </c>
      <c r="P620">
        <v>0</v>
      </c>
      <c r="Q620">
        <v>1</v>
      </c>
      <c r="R620">
        <v>0</v>
      </c>
      <c r="S620">
        <v>1</v>
      </c>
      <c r="T620">
        <v>0</v>
      </c>
      <c r="U620">
        <v>0</v>
      </c>
      <c r="V620">
        <v>1</v>
      </c>
      <c r="Y620">
        <v>0</v>
      </c>
      <c r="Z620">
        <v>1</v>
      </c>
    </row>
    <row r="621" spans="1:26" x14ac:dyDescent="0.25">
      <c r="A621" t="str">
        <f>"617"</f>
        <v>617</v>
      </c>
      <c r="B621" t="str">
        <f t="shared" si="33"/>
        <v>102</v>
      </c>
      <c r="C621" t="str">
        <f t="shared" si="34"/>
        <v>25</v>
      </c>
      <c r="D621" t="str">
        <f>"6"</f>
        <v>6</v>
      </c>
      <c r="E621" t="str">
        <f>"102-25-6"</f>
        <v>102-25-6</v>
      </c>
      <c r="F621" t="s">
        <v>27</v>
      </c>
      <c r="G621" t="s">
        <v>28</v>
      </c>
      <c r="H621">
        <v>1</v>
      </c>
      <c r="Q621">
        <v>1</v>
      </c>
      <c r="R621">
        <v>0</v>
      </c>
      <c r="S621">
        <v>1</v>
      </c>
      <c r="T621">
        <v>0</v>
      </c>
      <c r="U621">
        <v>1</v>
      </c>
      <c r="V621">
        <v>0</v>
      </c>
    </row>
    <row r="622" spans="1:26" x14ac:dyDescent="0.25">
      <c r="A622" t="str">
        <f>"618"</f>
        <v>618</v>
      </c>
      <c r="B622" t="str">
        <f t="shared" si="33"/>
        <v>102</v>
      </c>
      <c r="C622" t="str">
        <f t="shared" si="34"/>
        <v>25</v>
      </c>
      <c r="D622" t="str">
        <f>"17"</f>
        <v>17</v>
      </c>
      <c r="E622" t="str">
        <f>"102-25-17"</f>
        <v>102-25-17</v>
      </c>
      <c r="F622" t="s">
        <v>27</v>
      </c>
      <c r="G622" t="s">
        <v>28</v>
      </c>
      <c r="H622">
        <v>1</v>
      </c>
      <c r="Q622">
        <v>0</v>
      </c>
      <c r="R622">
        <v>1</v>
      </c>
      <c r="S622">
        <v>0</v>
      </c>
      <c r="T622">
        <v>1</v>
      </c>
      <c r="U622">
        <v>0</v>
      </c>
      <c r="V622">
        <v>1</v>
      </c>
    </row>
    <row r="623" spans="1:26" x14ac:dyDescent="0.25">
      <c r="A623" t="str">
        <f>"619"</f>
        <v>619</v>
      </c>
      <c r="B623" t="str">
        <f t="shared" si="33"/>
        <v>102</v>
      </c>
      <c r="C623" t="str">
        <f t="shared" si="34"/>
        <v>25</v>
      </c>
      <c r="D623" t="str">
        <f>"3"</f>
        <v>3</v>
      </c>
      <c r="E623" t="str">
        <f>"102-25-3"</f>
        <v>102-25-3</v>
      </c>
      <c r="F623" t="s">
        <v>27</v>
      </c>
      <c r="G623" t="s">
        <v>28</v>
      </c>
      <c r="H623">
        <v>1</v>
      </c>
      <c r="Q623">
        <v>0</v>
      </c>
      <c r="R623">
        <v>1</v>
      </c>
      <c r="S623">
        <v>0</v>
      </c>
      <c r="T623">
        <v>1</v>
      </c>
      <c r="U623">
        <v>0</v>
      </c>
      <c r="V623">
        <v>1</v>
      </c>
    </row>
    <row r="624" spans="1:26" x14ac:dyDescent="0.25">
      <c r="A624" t="str">
        <f>"620"</f>
        <v>620</v>
      </c>
      <c r="B624" t="str">
        <f t="shared" si="33"/>
        <v>102</v>
      </c>
      <c r="C624" t="str">
        <f t="shared" si="34"/>
        <v>25</v>
      </c>
      <c r="D624" t="str">
        <f>"18"</f>
        <v>18</v>
      </c>
      <c r="E624" t="str">
        <f>"102-25-18"</f>
        <v>102-25-18</v>
      </c>
      <c r="F624" t="s">
        <v>27</v>
      </c>
      <c r="G624" t="s">
        <v>28</v>
      </c>
      <c r="H624">
        <v>1</v>
      </c>
      <c r="Q624">
        <v>1</v>
      </c>
      <c r="R624">
        <v>0</v>
      </c>
      <c r="S624">
        <v>1</v>
      </c>
      <c r="T624">
        <v>0</v>
      </c>
      <c r="U624">
        <v>1</v>
      </c>
      <c r="V624">
        <v>0</v>
      </c>
    </row>
    <row r="625" spans="1:22" x14ac:dyDescent="0.25">
      <c r="A625" t="str">
        <f>"621"</f>
        <v>621</v>
      </c>
      <c r="B625" t="str">
        <f t="shared" si="33"/>
        <v>102</v>
      </c>
      <c r="C625" t="str">
        <f t="shared" si="34"/>
        <v>25</v>
      </c>
      <c r="D625" t="str">
        <f>"7"</f>
        <v>7</v>
      </c>
      <c r="E625" t="str">
        <f>"102-25-7"</f>
        <v>102-25-7</v>
      </c>
      <c r="F625" t="s">
        <v>27</v>
      </c>
      <c r="G625" t="s">
        <v>28</v>
      </c>
      <c r="H625">
        <v>1</v>
      </c>
      <c r="Q625">
        <v>0</v>
      </c>
      <c r="R625">
        <v>1</v>
      </c>
      <c r="S625">
        <v>0</v>
      </c>
      <c r="T625">
        <v>1</v>
      </c>
      <c r="U625">
        <v>0</v>
      </c>
      <c r="V625">
        <v>1</v>
      </c>
    </row>
    <row r="626" spans="1:22" x14ac:dyDescent="0.25">
      <c r="A626" t="str">
        <f>"622"</f>
        <v>622</v>
      </c>
      <c r="B626" t="str">
        <f t="shared" si="33"/>
        <v>102</v>
      </c>
      <c r="C626" t="str">
        <f t="shared" si="34"/>
        <v>25</v>
      </c>
      <c r="D626" t="str">
        <f>"19"</f>
        <v>19</v>
      </c>
      <c r="E626" t="str">
        <f>"102-25-19"</f>
        <v>102-25-19</v>
      </c>
      <c r="F626" t="s">
        <v>27</v>
      </c>
      <c r="G626" t="s">
        <v>28</v>
      </c>
      <c r="H626">
        <v>1</v>
      </c>
      <c r="Q626">
        <v>1</v>
      </c>
      <c r="R626">
        <v>0</v>
      </c>
      <c r="S626">
        <v>1</v>
      </c>
      <c r="T626">
        <v>0</v>
      </c>
      <c r="U626">
        <v>0</v>
      </c>
      <c r="V626">
        <v>1</v>
      </c>
    </row>
    <row r="627" spans="1:22" x14ac:dyDescent="0.25">
      <c r="A627" t="str">
        <f>"623"</f>
        <v>623</v>
      </c>
      <c r="B627" t="str">
        <f t="shared" si="33"/>
        <v>102</v>
      </c>
      <c r="C627" t="str">
        <f t="shared" si="34"/>
        <v>25</v>
      </c>
      <c r="D627" t="str">
        <f>"8"</f>
        <v>8</v>
      </c>
      <c r="E627" t="str">
        <f>"102-25-8"</f>
        <v>102-25-8</v>
      </c>
      <c r="F627" t="s">
        <v>27</v>
      </c>
      <c r="G627" t="s">
        <v>28</v>
      </c>
      <c r="H627">
        <v>1</v>
      </c>
      <c r="Q627">
        <v>0</v>
      </c>
      <c r="R627">
        <v>1</v>
      </c>
      <c r="S627">
        <v>0</v>
      </c>
      <c r="T627">
        <v>1</v>
      </c>
      <c r="U627">
        <v>0</v>
      </c>
      <c r="V627">
        <v>1</v>
      </c>
    </row>
    <row r="628" spans="1:22" x14ac:dyDescent="0.25">
      <c r="A628" t="str">
        <f>"624"</f>
        <v>624</v>
      </c>
      <c r="B628" t="str">
        <f t="shared" si="33"/>
        <v>102</v>
      </c>
      <c r="C628" t="str">
        <f t="shared" si="34"/>
        <v>25</v>
      </c>
      <c r="D628" t="str">
        <f>"20"</f>
        <v>20</v>
      </c>
      <c r="E628" t="str">
        <f>"102-25-20"</f>
        <v>102-25-20</v>
      </c>
      <c r="F628" t="s">
        <v>27</v>
      </c>
      <c r="G628" t="s">
        <v>28</v>
      </c>
      <c r="H628">
        <v>1</v>
      </c>
      <c r="Q628">
        <v>0</v>
      </c>
      <c r="R628">
        <v>1</v>
      </c>
      <c r="S628">
        <v>0</v>
      </c>
      <c r="T628">
        <v>1</v>
      </c>
      <c r="U628">
        <v>0</v>
      </c>
      <c r="V628">
        <v>1</v>
      </c>
    </row>
    <row r="629" spans="1:22" x14ac:dyDescent="0.25">
      <c r="A629" t="str">
        <f>"625"</f>
        <v>625</v>
      </c>
      <c r="B629" t="str">
        <f t="shared" si="33"/>
        <v>102</v>
      </c>
      <c r="C629" t="str">
        <f t="shared" si="34"/>
        <v>25</v>
      </c>
      <c r="D629" t="str">
        <f>"10"</f>
        <v>10</v>
      </c>
      <c r="E629" t="str">
        <f>"102-25-10"</f>
        <v>102-25-10</v>
      </c>
      <c r="F629" t="s">
        <v>27</v>
      </c>
      <c r="G629" t="s">
        <v>28</v>
      </c>
      <c r="H629">
        <v>1</v>
      </c>
      <c r="Q629">
        <v>0</v>
      </c>
      <c r="R629">
        <v>1</v>
      </c>
      <c r="S629">
        <v>0</v>
      </c>
      <c r="T629">
        <v>1</v>
      </c>
      <c r="U629">
        <v>0</v>
      </c>
      <c r="V629">
        <v>1</v>
      </c>
    </row>
    <row r="630" spans="1:22" x14ac:dyDescent="0.25">
      <c r="A630" t="str">
        <f>"626"</f>
        <v>626</v>
      </c>
      <c r="B630" t="str">
        <f t="shared" si="33"/>
        <v>102</v>
      </c>
      <c r="C630" t="str">
        <f t="shared" ref="C630:C654" si="35">"26"</f>
        <v>26</v>
      </c>
      <c r="D630" t="str">
        <f>"22"</f>
        <v>22</v>
      </c>
      <c r="E630" t="str">
        <f>"102-26-22"</f>
        <v>102-26-22</v>
      </c>
      <c r="F630" t="s">
        <v>27</v>
      </c>
      <c r="G630" t="s">
        <v>28</v>
      </c>
      <c r="H630">
        <v>1</v>
      </c>
      <c r="Q630">
        <v>0</v>
      </c>
      <c r="R630">
        <v>1</v>
      </c>
      <c r="S630">
        <v>0</v>
      </c>
      <c r="T630">
        <v>1</v>
      </c>
      <c r="U630">
        <v>1</v>
      </c>
      <c r="V630">
        <v>0</v>
      </c>
    </row>
    <row r="631" spans="1:22" x14ac:dyDescent="0.25">
      <c r="A631" t="str">
        <f>"627"</f>
        <v>627</v>
      </c>
      <c r="B631" t="str">
        <f t="shared" si="33"/>
        <v>102</v>
      </c>
      <c r="C631" t="str">
        <f t="shared" si="35"/>
        <v>26</v>
      </c>
      <c r="D631" t="str">
        <f>"11"</f>
        <v>11</v>
      </c>
      <c r="E631" t="str">
        <f>"102-26-11"</f>
        <v>102-26-11</v>
      </c>
      <c r="F631" t="s">
        <v>27</v>
      </c>
      <c r="G631" t="s">
        <v>28</v>
      </c>
      <c r="H631">
        <v>1</v>
      </c>
      <c r="Q631">
        <v>1</v>
      </c>
      <c r="R631">
        <v>0</v>
      </c>
      <c r="S631">
        <v>1</v>
      </c>
      <c r="T631">
        <v>0</v>
      </c>
      <c r="U631">
        <v>1</v>
      </c>
      <c r="V631">
        <v>0</v>
      </c>
    </row>
    <row r="632" spans="1:22" x14ac:dyDescent="0.25">
      <c r="A632" t="str">
        <f>"628"</f>
        <v>628</v>
      </c>
      <c r="B632" t="str">
        <f t="shared" si="33"/>
        <v>102</v>
      </c>
      <c r="C632" t="str">
        <f t="shared" si="35"/>
        <v>26</v>
      </c>
      <c r="D632" t="str">
        <f>"1"</f>
        <v>1</v>
      </c>
      <c r="E632" t="str">
        <f>"102-26-1"</f>
        <v>102-26-1</v>
      </c>
      <c r="F632" t="s">
        <v>27</v>
      </c>
      <c r="G632" t="s">
        <v>28</v>
      </c>
      <c r="H632">
        <v>1</v>
      </c>
      <c r="Q632">
        <v>0</v>
      </c>
      <c r="R632">
        <v>1</v>
      </c>
      <c r="S632">
        <v>0</v>
      </c>
      <c r="T632">
        <v>1</v>
      </c>
      <c r="U632">
        <v>0</v>
      </c>
      <c r="V632">
        <v>1</v>
      </c>
    </row>
    <row r="633" spans="1:22" x14ac:dyDescent="0.25">
      <c r="A633" t="str">
        <f>"629"</f>
        <v>629</v>
      </c>
      <c r="B633" t="str">
        <f t="shared" si="33"/>
        <v>102</v>
      </c>
      <c r="C633" t="str">
        <f t="shared" si="35"/>
        <v>26</v>
      </c>
      <c r="D633" t="str">
        <f>"21"</f>
        <v>21</v>
      </c>
      <c r="E633" t="str">
        <f>"102-26-21"</f>
        <v>102-26-21</v>
      </c>
      <c r="F633" t="s">
        <v>27</v>
      </c>
      <c r="G633" t="s">
        <v>28</v>
      </c>
      <c r="H633">
        <v>1</v>
      </c>
      <c r="Q633">
        <v>1</v>
      </c>
      <c r="R633">
        <v>0</v>
      </c>
      <c r="S633">
        <v>1</v>
      </c>
      <c r="T633">
        <v>0</v>
      </c>
      <c r="U633">
        <v>1</v>
      </c>
      <c r="V633">
        <v>0</v>
      </c>
    </row>
    <row r="634" spans="1:22" x14ac:dyDescent="0.25">
      <c r="A634" t="str">
        <f>"630"</f>
        <v>630</v>
      </c>
      <c r="B634" t="str">
        <f t="shared" si="33"/>
        <v>102</v>
      </c>
      <c r="C634" t="str">
        <f t="shared" si="35"/>
        <v>26</v>
      </c>
      <c r="D634" t="str">
        <f>"12"</f>
        <v>12</v>
      </c>
      <c r="E634" t="str">
        <f>"102-26-12"</f>
        <v>102-26-12</v>
      </c>
      <c r="F634" t="s">
        <v>27</v>
      </c>
      <c r="G634" t="s">
        <v>28</v>
      </c>
      <c r="H634">
        <v>1</v>
      </c>
      <c r="Q634">
        <v>1</v>
      </c>
      <c r="R634">
        <v>0</v>
      </c>
      <c r="S634">
        <v>0</v>
      </c>
      <c r="T634">
        <v>1</v>
      </c>
      <c r="U634">
        <v>0</v>
      </c>
      <c r="V634">
        <v>1</v>
      </c>
    </row>
    <row r="635" spans="1:22" x14ac:dyDescent="0.25">
      <c r="A635" t="str">
        <f>"631"</f>
        <v>631</v>
      </c>
      <c r="B635" t="str">
        <f t="shared" si="33"/>
        <v>102</v>
      </c>
      <c r="C635" t="str">
        <f t="shared" si="35"/>
        <v>26</v>
      </c>
      <c r="D635" t="str">
        <f>"2"</f>
        <v>2</v>
      </c>
      <c r="E635" t="str">
        <f>"102-26-2"</f>
        <v>102-26-2</v>
      </c>
      <c r="F635" t="s">
        <v>27</v>
      </c>
      <c r="G635" t="s">
        <v>28</v>
      </c>
      <c r="H635">
        <v>1</v>
      </c>
      <c r="Q635">
        <v>1</v>
      </c>
      <c r="R635">
        <v>0</v>
      </c>
      <c r="S635">
        <v>1</v>
      </c>
      <c r="T635">
        <v>0</v>
      </c>
      <c r="U635">
        <v>1</v>
      </c>
      <c r="V635">
        <v>0</v>
      </c>
    </row>
    <row r="636" spans="1:22" x14ac:dyDescent="0.25">
      <c r="A636" t="str">
        <f>"632"</f>
        <v>632</v>
      </c>
      <c r="B636" t="str">
        <f t="shared" si="33"/>
        <v>102</v>
      </c>
      <c r="C636" t="str">
        <f t="shared" si="35"/>
        <v>26</v>
      </c>
      <c r="D636" t="str">
        <f>"3"</f>
        <v>3</v>
      </c>
      <c r="E636" t="str">
        <f>"102-26-3"</f>
        <v>102-26-3</v>
      </c>
      <c r="F636" t="s">
        <v>27</v>
      </c>
      <c r="G636" t="s">
        <v>28</v>
      </c>
      <c r="H636">
        <v>1</v>
      </c>
      <c r="Q636">
        <v>0</v>
      </c>
      <c r="R636">
        <v>1</v>
      </c>
      <c r="S636">
        <v>0</v>
      </c>
      <c r="T636">
        <v>1</v>
      </c>
      <c r="U636">
        <v>1</v>
      </c>
      <c r="V636">
        <v>0</v>
      </c>
    </row>
    <row r="637" spans="1:22" x14ac:dyDescent="0.25">
      <c r="A637" t="str">
        <f>"633"</f>
        <v>633</v>
      </c>
      <c r="B637" t="str">
        <f t="shared" si="33"/>
        <v>102</v>
      </c>
      <c r="C637" t="str">
        <f t="shared" si="35"/>
        <v>26</v>
      </c>
      <c r="D637" t="str">
        <f>"25"</f>
        <v>25</v>
      </c>
      <c r="E637" t="str">
        <f>"102-26-25"</f>
        <v>102-26-25</v>
      </c>
      <c r="F637" t="s">
        <v>27</v>
      </c>
      <c r="G637" t="s">
        <v>28</v>
      </c>
      <c r="H637">
        <v>1</v>
      </c>
      <c r="Q637">
        <v>0</v>
      </c>
      <c r="R637">
        <v>1</v>
      </c>
      <c r="S637">
        <v>0</v>
      </c>
      <c r="T637">
        <v>1</v>
      </c>
      <c r="U637">
        <v>1</v>
      </c>
      <c r="V637">
        <v>0</v>
      </c>
    </row>
    <row r="638" spans="1:22" x14ac:dyDescent="0.25">
      <c r="A638" t="str">
        <f>"634"</f>
        <v>634</v>
      </c>
      <c r="B638" t="str">
        <f t="shared" si="33"/>
        <v>102</v>
      </c>
      <c r="C638" t="str">
        <f t="shared" si="35"/>
        <v>26</v>
      </c>
      <c r="D638" t="str">
        <f>"14"</f>
        <v>14</v>
      </c>
      <c r="E638" t="str">
        <f>"102-26-14"</f>
        <v>102-26-14</v>
      </c>
      <c r="F638" t="s">
        <v>27</v>
      </c>
      <c r="G638" t="s">
        <v>28</v>
      </c>
      <c r="H638">
        <v>1</v>
      </c>
      <c r="Q638">
        <v>0</v>
      </c>
      <c r="R638">
        <v>1</v>
      </c>
      <c r="S638">
        <v>0</v>
      </c>
      <c r="T638">
        <v>1</v>
      </c>
      <c r="U638">
        <v>0</v>
      </c>
      <c r="V638">
        <v>1</v>
      </c>
    </row>
    <row r="639" spans="1:22" x14ac:dyDescent="0.25">
      <c r="A639" t="str">
        <f>"635"</f>
        <v>635</v>
      </c>
      <c r="B639" t="str">
        <f t="shared" si="33"/>
        <v>102</v>
      </c>
      <c r="C639" t="str">
        <f t="shared" si="35"/>
        <v>26</v>
      </c>
      <c r="D639" t="str">
        <f>"6"</f>
        <v>6</v>
      </c>
      <c r="E639" t="str">
        <f>"102-26-6"</f>
        <v>102-26-6</v>
      </c>
      <c r="F639" t="s">
        <v>27</v>
      </c>
      <c r="G639" t="s">
        <v>28</v>
      </c>
      <c r="H639">
        <v>1</v>
      </c>
      <c r="Q639">
        <v>1</v>
      </c>
      <c r="R639">
        <v>0</v>
      </c>
      <c r="S639">
        <v>1</v>
      </c>
      <c r="T639">
        <v>0</v>
      </c>
      <c r="U639">
        <v>0</v>
      </c>
      <c r="V639">
        <v>1</v>
      </c>
    </row>
    <row r="640" spans="1:22" x14ac:dyDescent="0.25">
      <c r="A640" t="str">
        <f>"636"</f>
        <v>636</v>
      </c>
      <c r="B640" t="str">
        <f t="shared" si="33"/>
        <v>102</v>
      </c>
      <c r="C640" t="str">
        <f t="shared" si="35"/>
        <v>26</v>
      </c>
      <c r="D640" t="str">
        <f>"23"</f>
        <v>23</v>
      </c>
      <c r="E640" t="str">
        <f>"102-26-23"</f>
        <v>102-26-23</v>
      </c>
      <c r="F640" t="s">
        <v>27</v>
      </c>
      <c r="G640" t="s">
        <v>28</v>
      </c>
      <c r="H640">
        <v>1</v>
      </c>
      <c r="Q640">
        <v>1</v>
      </c>
      <c r="R640">
        <v>0</v>
      </c>
      <c r="S640">
        <v>1</v>
      </c>
      <c r="T640">
        <v>0</v>
      </c>
      <c r="U640">
        <v>1</v>
      </c>
      <c r="V640">
        <v>0</v>
      </c>
    </row>
    <row r="641" spans="1:22" x14ac:dyDescent="0.25">
      <c r="A641" t="str">
        <f>"637"</f>
        <v>637</v>
      </c>
      <c r="B641" t="str">
        <f t="shared" si="33"/>
        <v>102</v>
      </c>
      <c r="C641" t="str">
        <f t="shared" si="35"/>
        <v>26</v>
      </c>
      <c r="D641" t="str">
        <f>"15"</f>
        <v>15</v>
      </c>
      <c r="E641" t="str">
        <f>"102-26-15"</f>
        <v>102-26-15</v>
      </c>
      <c r="F641" t="s">
        <v>27</v>
      </c>
      <c r="G641" t="s">
        <v>28</v>
      </c>
      <c r="H641">
        <v>1</v>
      </c>
      <c r="Q641">
        <v>1</v>
      </c>
      <c r="R641">
        <v>0</v>
      </c>
      <c r="S641">
        <v>0</v>
      </c>
      <c r="T641">
        <v>1</v>
      </c>
      <c r="U641">
        <v>0</v>
      </c>
      <c r="V641">
        <v>1</v>
      </c>
    </row>
    <row r="642" spans="1:22" x14ac:dyDescent="0.25">
      <c r="A642" t="str">
        <f>"638"</f>
        <v>638</v>
      </c>
      <c r="B642" t="str">
        <f t="shared" si="33"/>
        <v>102</v>
      </c>
      <c r="C642" t="str">
        <f t="shared" si="35"/>
        <v>26</v>
      </c>
      <c r="D642" t="str">
        <f>"10"</f>
        <v>10</v>
      </c>
      <c r="E642" t="str">
        <f>"102-26-10"</f>
        <v>102-26-10</v>
      </c>
      <c r="F642" t="s">
        <v>27</v>
      </c>
      <c r="G642" t="s">
        <v>28</v>
      </c>
      <c r="H642">
        <v>1</v>
      </c>
      <c r="Q642">
        <v>0</v>
      </c>
      <c r="R642">
        <v>1</v>
      </c>
      <c r="S642">
        <v>0</v>
      </c>
      <c r="T642">
        <v>1</v>
      </c>
      <c r="U642">
        <v>0</v>
      </c>
      <c r="V642">
        <v>1</v>
      </c>
    </row>
    <row r="643" spans="1:22" x14ac:dyDescent="0.25">
      <c r="A643" t="str">
        <f>"639"</f>
        <v>639</v>
      </c>
      <c r="B643" t="str">
        <f t="shared" si="33"/>
        <v>102</v>
      </c>
      <c r="C643" t="str">
        <f t="shared" si="35"/>
        <v>26</v>
      </c>
      <c r="D643" t="str">
        <f>"24"</f>
        <v>24</v>
      </c>
      <c r="E643" t="str">
        <f>"102-26-24"</f>
        <v>102-26-24</v>
      </c>
      <c r="F643" t="s">
        <v>27</v>
      </c>
      <c r="G643" t="s">
        <v>28</v>
      </c>
      <c r="H643">
        <v>1</v>
      </c>
      <c r="Q643">
        <v>0</v>
      </c>
      <c r="R643">
        <v>1</v>
      </c>
      <c r="S643">
        <v>0</v>
      </c>
      <c r="T643">
        <v>1</v>
      </c>
      <c r="U643">
        <v>0</v>
      </c>
      <c r="V643">
        <v>1</v>
      </c>
    </row>
    <row r="644" spans="1:22" x14ac:dyDescent="0.25">
      <c r="A644" t="str">
        <f>"640"</f>
        <v>640</v>
      </c>
      <c r="B644" t="str">
        <f t="shared" si="33"/>
        <v>102</v>
      </c>
      <c r="C644" t="str">
        <f t="shared" si="35"/>
        <v>26</v>
      </c>
      <c r="D644" t="str">
        <f>"16"</f>
        <v>16</v>
      </c>
      <c r="E644" t="str">
        <f>"102-26-16"</f>
        <v>102-26-16</v>
      </c>
      <c r="F644" t="s">
        <v>27</v>
      </c>
      <c r="G644" t="s">
        <v>28</v>
      </c>
      <c r="H644">
        <v>1</v>
      </c>
      <c r="Q644">
        <v>0</v>
      </c>
      <c r="R644">
        <v>1</v>
      </c>
      <c r="S644">
        <v>0</v>
      </c>
      <c r="T644">
        <v>1</v>
      </c>
      <c r="U644">
        <v>1</v>
      </c>
      <c r="V644">
        <v>0</v>
      </c>
    </row>
    <row r="645" spans="1:22" x14ac:dyDescent="0.25">
      <c r="A645" t="str">
        <f>"641"</f>
        <v>641</v>
      </c>
      <c r="B645" t="str">
        <f t="shared" ref="B645:B708" si="36">"102"</f>
        <v>102</v>
      </c>
      <c r="C645" t="str">
        <f t="shared" si="35"/>
        <v>26</v>
      </c>
      <c r="D645" t="str">
        <f>"9"</f>
        <v>9</v>
      </c>
      <c r="E645" t="str">
        <f>"102-26-9"</f>
        <v>102-26-9</v>
      </c>
      <c r="F645" t="s">
        <v>27</v>
      </c>
      <c r="G645" t="s">
        <v>28</v>
      </c>
      <c r="H645">
        <v>1</v>
      </c>
      <c r="Q645">
        <v>1</v>
      </c>
      <c r="R645">
        <v>0</v>
      </c>
      <c r="S645">
        <v>1</v>
      </c>
      <c r="T645">
        <v>0</v>
      </c>
      <c r="U645">
        <v>0</v>
      </c>
      <c r="V645">
        <v>1</v>
      </c>
    </row>
    <row r="646" spans="1:22" x14ac:dyDescent="0.25">
      <c r="A646" t="str">
        <f>"642"</f>
        <v>642</v>
      </c>
      <c r="B646" t="str">
        <f t="shared" si="36"/>
        <v>102</v>
      </c>
      <c r="C646" t="str">
        <f t="shared" si="35"/>
        <v>26</v>
      </c>
      <c r="D646" t="str">
        <f>"17"</f>
        <v>17</v>
      </c>
      <c r="E646" t="str">
        <f>"102-26-17"</f>
        <v>102-26-17</v>
      </c>
      <c r="F646" t="s">
        <v>27</v>
      </c>
      <c r="G646" t="s">
        <v>28</v>
      </c>
      <c r="H646">
        <v>1</v>
      </c>
      <c r="Q646">
        <v>1</v>
      </c>
      <c r="R646">
        <v>0</v>
      </c>
      <c r="S646">
        <v>1</v>
      </c>
      <c r="T646">
        <v>0</v>
      </c>
      <c r="U646">
        <v>1</v>
      </c>
      <c r="V646">
        <v>0</v>
      </c>
    </row>
    <row r="647" spans="1:22" x14ac:dyDescent="0.25">
      <c r="A647" t="str">
        <f>"643"</f>
        <v>643</v>
      </c>
      <c r="B647" t="str">
        <f t="shared" si="36"/>
        <v>102</v>
      </c>
      <c r="C647" t="str">
        <f t="shared" si="35"/>
        <v>26</v>
      </c>
      <c r="D647" t="str">
        <f>"5"</f>
        <v>5</v>
      </c>
      <c r="E647" t="str">
        <f>"102-26-5"</f>
        <v>102-26-5</v>
      </c>
      <c r="F647" t="s">
        <v>27</v>
      </c>
      <c r="G647" t="s">
        <v>28</v>
      </c>
      <c r="H647">
        <v>1</v>
      </c>
      <c r="Q647">
        <v>0</v>
      </c>
      <c r="R647">
        <v>1</v>
      </c>
      <c r="S647">
        <v>0</v>
      </c>
      <c r="T647">
        <v>1</v>
      </c>
      <c r="U647">
        <v>0</v>
      </c>
      <c r="V647">
        <v>1</v>
      </c>
    </row>
    <row r="648" spans="1:22" x14ac:dyDescent="0.25">
      <c r="A648" t="str">
        <f>"644"</f>
        <v>644</v>
      </c>
      <c r="B648" t="str">
        <f t="shared" si="36"/>
        <v>102</v>
      </c>
      <c r="C648" t="str">
        <f t="shared" si="35"/>
        <v>26</v>
      </c>
      <c r="D648" t="str">
        <f>"18"</f>
        <v>18</v>
      </c>
      <c r="E648" t="str">
        <f>"102-26-18"</f>
        <v>102-26-18</v>
      </c>
      <c r="F648" t="s">
        <v>27</v>
      </c>
      <c r="G648" t="s">
        <v>28</v>
      </c>
      <c r="H648">
        <v>1</v>
      </c>
      <c r="Q648">
        <v>0</v>
      </c>
      <c r="R648">
        <v>1</v>
      </c>
      <c r="S648">
        <v>0</v>
      </c>
      <c r="T648">
        <v>1</v>
      </c>
      <c r="U648">
        <v>1</v>
      </c>
      <c r="V648">
        <v>0</v>
      </c>
    </row>
    <row r="649" spans="1:22" x14ac:dyDescent="0.25">
      <c r="A649" t="str">
        <f>"645"</f>
        <v>645</v>
      </c>
      <c r="B649" t="str">
        <f t="shared" si="36"/>
        <v>102</v>
      </c>
      <c r="C649" t="str">
        <f t="shared" si="35"/>
        <v>26</v>
      </c>
      <c r="D649" t="str">
        <f>"7"</f>
        <v>7</v>
      </c>
      <c r="E649" t="str">
        <f>"102-26-7"</f>
        <v>102-26-7</v>
      </c>
      <c r="F649" t="s">
        <v>27</v>
      </c>
      <c r="G649" t="s">
        <v>28</v>
      </c>
      <c r="H649">
        <v>1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1</v>
      </c>
    </row>
    <row r="650" spans="1:22" x14ac:dyDescent="0.25">
      <c r="A650" t="str">
        <f>"646"</f>
        <v>646</v>
      </c>
      <c r="B650" t="str">
        <f t="shared" si="36"/>
        <v>102</v>
      </c>
      <c r="C650" t="str">
        <f t="shared" si="35"/>
        <v>26</v>
      </c>
      <c r="D650" t="str">
        <f>"19"</f>
        <v>19</v>
      </c>
      <c r="E650" t="str">
        <f>"102-26-19"</f>
        <v>102-26-19</v>
      </c>
      <c r="F650" t="s">
        <v>27</v>
      </c>
      <c r="G650" t="s">
        <v>28</v>
      </c>
      <c r="H650">
        <v>1</v>
      </c>
      <c r="Q650">
        <v>1</v>
      </c>
      <c r="R650">
        <v>0</v>
      </c>
      <c r="S650">
        <v>1</v>
      </c>
      <c r="T650">
        <v>0</v>
      </c>
      <c r="U650">
        <v>1</v>
      </c>
      <c r="V650">
        <v>0</v>
      </c>
    </row>
    <row r="651" spans="1:22" x14ac:dyDescent="0.25">
      <c r="A651" t="str">
        <f>"647"</f>
        <v>647</v>
      </c>
      <c r="B651" t="str">
        <f t="shared" si="36"/>
        <v>102</v>
      </c>
      <c r="C651" t="str">
        <f t="shared" si="35"/>
        <v>26</v>
      </c>
      <c r="D651" t="str">
        <f>"8"</f>
        <v>8</v>
      </c>
      <c r="E651" t="str">
        <f>"102-26-8"</f>
        <v>102-26-8</v>
      </c>
      <c r="F651" t="s">
        <v>27</v>
      </c>
      <c r="G651" t="s">
        <v>28</v>
      </c>
      <c r="H651">
        <v>1</v>
      </c>
      <c r="Q651">
        <v>0</v>
      </c>
      <c r="R651">
        <v>1</v>
      </c>
      <c r="S651">
        <v>0</v>
      </c>
      <c r="T651">
        <v>1</v>
      </c>
      <c r="U651">
        <v>0</v>
      </c>
      <c r="V651">
        <v>1</v>
      </c>
    </row>
    <row r="652" spans="1:22" x14ac:dyDescent="0.25">
      <c r="A652" t="str">
        <f>"648"</f>
        <v>648</v>
      </c>
      <c r="B652" t="str">
        <f t="shared" si="36"/>
        <v>102</v>
      </c>
      <c r="C652" t="str">
        <f t="shared" si="35"/>
        <v>26</v>
      </c>
      <c r="D652" t="str">
        <f>"20"</f>
        <v>20</v>
      </c>
      <c r="E652" t="str">
        <f>"102-26-20"</f>
        <v>102-26-20</v>
      </c>
      <c r="F652" t="s">
        <v>27</v>
      </c>
      <c r="G652" t="s">
        <v>28</v>
      </c>
      <c r="H652">
        <v>1</v>
      </c>
      <c r="Q652">
        <v>0</v>
      </c>
      <c r="R652">
        <v>1</v>
      </c>
      <c r="S652">
        <v>0</v>
      </c>
      <c r="T652">
        <v>1</v>
      </c>
      <c r="U652">
        <v>0</v>
      </c>
      <c r="V652">
        <v>1</v>
      </c>
    </row>
    <row r="653" spans="1:22" x14ac:dyDescent="0.25">
      <c r="A653" t="str">
        <f>"649"</f>
        <v>649</v>
      </c>
      <c r="B653" t="str">
        <f t="shared" si="36"/>
        <v>102</v>
      </c>
      <c r="C653" t="str">
        <f t="shared" si="35"/>
        <v>26</v>
      </c>
      <c r="D653" t="str">
        <f>"4"</f>
        <v>4</v>
      </c>
      <c r="E653" t="str">
        <f>"102-26-4"</f>
        <v>102-26-4</v>
      </c>
      <c r="F653" t="s">
        <v>27</v>
      </c>
      <c r="G653" t="s">
        <v>28</v>
      </c>
      <c r="H653">
        <v>1</v>
      </c>
      <c r="Q653">
        <v>0</v>
      </c>
      <c r="R653">
        <v>1</v>
      </c>
      <c r="S653">
        <v>0</v>
      </c>
      <c r="T653">
        <v>1</v>
      </c>
      <c r="U653">
        <v>0</v>
      </c>
      <c r="V653">
        <v>1</v>
      </c>
    </row>
    <row r="654" spans="1:22" x14ac:dyDescent="0.25">
      <c r="A654" t="str">
        <f>"650"</f>
        <v>650</v>
      </c>
      <c r="B654" t="str">
        <f t="shared" si="36"/>
        <v>102</v>
      </c>
      <c r="C654" t="str">
        <f t="shared" si="35"/>
        <v>26</v>
      </c>
      <c r="D654" t="str">
        <f>"13"</f>
        <v>13</v>
      </c>
      <c r="E654" t="str">
        <f>"102-26-13"</f>
        <v>102-26-13</v>
      </c>
      <c r="F654" t="s">
        <v>27</v>
      </c>
      <c r="G654" t="s">
        <v>28</v>
      </c>
      <c r="H654">
        <v>1</v>
      </c>
      <c r="Q654">
        <v>0</v>
      </c>
      <c r="R654">
        <v>1</v>
      </c>
      <c r="S654">
        <v>0</v>
      </c>
      <c r="T654">
        <v>1</v>
      </c>
      <c r="U654">
        <v>1</v>
      </c>
      <c r="V654">
        <v>0</v>
      </c>
    </row>
    <row r="655" spans="1:22" x14ac:dyDescent="0.25">
      <c r="A655" t="str">
        <f>"651"</f>
        <v>651</v>
      </c>
      <c r="B655" t="str">
        <f t="shared" si="36"/>
        <v>102</v>
      </c>
      <c r="C655" t="str">
        <f t="shared" ref="C655:C679" si="37">"27"</f>
        <v>27</v>
      </c>
      <c r="D655" t="str">
        <f>"24"</f>
        <v>24</v>
      </c>
      <c r="E655" t="str">
        <f>"102-27-24"</f>
        <v>102-27-24</v>
      </c>
      <c r="F655" t="s">
        <v>27</v>
      </c>
      <c r="G655" t="s">
        <v>28</v>
      </c>
      <c r="H655">
        <v>1</v>
      </c>
      <c r="Q655">
        <v>1</v>
      </c>
      <c r="R655">
        <v>0</v>
      </c>
      <c r="S655">
        <v>0</v>
      </c>
      <c r="T655">
        <v>1</v>
      </c>
      <c r="U655">
        <v>0</v>
      </c>
      <c r="V655">
        <v>1</v>
      </c>
    </row>
    <row r="656" spans="1:22" x14ac:dyDescent="0.25">
      <c r="A656" t="str">
        <f>"652"</f>
        <v>652</v>
      </c>
      <c r="B656" t="str">
        <f t="shared" si="36"/>
        <v>102</v>
      </c>
      <c r="C656" t="str">
        <f t="shared" si="37"/>
        <v>27</v>
      </c>
      <c r="D656" t="str">
        <f>"23"</f>
        <v>23</v>
      </c>
      <c r="E656" t="str">
        <f>"102-27-23"</f>
        <v>102-27-23</v>
      </c>
      <c r="F656" t="s">
        <v>27</v>
      </c>
      <c r="G656" t="s">
        <v>28</v>
      </c>
      <c r="H656">
        <v>1</v>
      </c>
      <c r="Q656">
        <v>0</v>
      </c>
      <c r="R656">
        <v>1</v>
      </c>
      <c r="S656">
        <v>0</v>
      </c>
      <c r="T656">
        <v>1</v>
      </c>
      <c r="U656">
        <v>0</v>
      </c>
      <c r="V656">
        <v>1</v>
      </c>
    </row>
    <row r="657" spans="1:22" x14ac:dyDescent="0.25">
      <c r="A657" t="str">
        <f>"653"</f>
        <v>653</v>
      </c>
      <c r="B657" t="str">
        <f t="shared" si="36"/>
        <v>102</v>
      </c>
      <c r="C657" t="str">
        <f t="shared" si="37"/>
        <v>27</v>
      </c>
      <c r="D657" t="str">
        <f>"20"</f>
        <v>20</v>
      </c>
      <c r="E657" t="str">
        <f>"102-27-20"</f>
        <v>102-27-20</v>
      </c>
      <c r="F657" t="s">
        <v>27</v>
      </c>
      <c r="G657" t="s">
        <v>28</v>
      </c>
      <c r="H657">
        <v>1</v>
      </c>
      <c r="Q657">
        <v>1</v>
      </c>
      <c r="R657">
        <v>0</v>
      </c>
      <c r="S657">
        <v>0</v>
      </c>
      <c r="T657">
        <v>1</v>
      </c>
      <c r="U657">
        <v>0</v>
      </c>
      <c r="V657">
        <v>1</v>
      </c>
    </row>
    <row r="658" spans="1:22" x14ac:dyDescent="0.25">
      <c r="A658" t="str">
        <f>"654"</f>
        <v>654</v>
      </c>
      <c r="B658" t="str">
        <f t="shared" si="36"/>
        <v>102</v>
      </c>
      <c r="C658" t="str">
        <f t="shared" si="37"/>
        <v>27</v>
      </c>
      <c r="D658" t="str">
        <f>"11"</f>
        <v>11</v>
      </c>
      <c r="E658" t="str">
        <f>"102-27-11"</f>
        <v>102-27-11</v>
      </c>
      <c r="F658" t="s">
        <v>27</v>
      </c>
      <c r="G658" t="s">
        <v>28</v>
      </c>
      <c r="H658">
        <v>1</v>
      </c>
      <c r="Q658">
        <v>0</v>
      </c>
      <c r="R658">
        <v>1</v>
      </c>
      <c r="S658">
        <v>0</v>
      </c>
      <c r="T658">
        <v>1</v>
      </c>
      <c r="U658">
        <v>1</v>
      </c>
      <c r="V658">
        <v>0</v>
      </c>
    </row>
    <row r="659" spans="1:22" x14ac:dyDescent="0.25">
      <c r="A659" t="str">
        <f>"655"</f>
        <v>655</v>
      </c>
      <c r="B659" t="str">
        <f t="shared" si="36"/>
        <v>102</v>
      </c>
      <c r="C659" t="str">
        <f t="shared" si="37"/>
        <v>27</v>
      </c>
      <c r="D659" t="str">
        <f>"1"</f>
        <v>1</v>
      </c>
      <c r="E659" t="str">
        <f>"102-27-1"</f>
        <v>102-27-1</v>
      </c>
      <c r="F659" t="s">
        <v>27</v>
      </c>
      <c r="G659" t="s">
        <v>28</v>
      </c>
      <c r="H659">
        <v>1</v>
      </c>
      <c r="Q659">
        <v>1</v>
      </c>
      <c r="R659">
        <v>0</v>
      </c>
      <c r="S659">
        <v>1</v>
      </c>
      <c r="T659">
        <v>0</v>
      </c>
      <c r="U659">
        <v>1</v>
      </c>
      <c r="V659">
        <v>0</v>
      </c>
    </row>
    <row r="660" spans="1:22" x14ac:dyDescent="0.25">
      <c r="A660" t="str">
        <f>"656"</f>
        <v>656</v>
      </c>
      <c r="B660" t="str">
        <f t="shared" si="36"/>
        <v>102</v>
      </c>
      <c r="C660" t="str">
        <f t="shared" si="37"/>
        <v>27</v>
      </c>
      <c r="D660" t="str">
        <f>"25"</f>
        <v>25</v>
      </c>
      <c r="E660" t="str">
        <f>"102-27-25"</f>
        <v>102-27-25</v>
      </c>
      <c r="F660" t="s">
        <v>27</v>
      </c>
      <c r="G660" t="s">
        <v>28</v>
      </c>
      <c r="H660">
        <v>1</v>
      </c>
      <c r="Q660">
        <v>0</v>
      </c>
      <c r="R660">
        <v>1</v>
      </c>
      <c r="S660">
        <v>0</v>
      </c>
      <c r="T660">
        <v>1</v>
      </c>
      <c r="U660">
        <v>0</v>
      </c>
      <c r="V660">
        <v>1</v>
      </c>
    </row>
    <row r="661" spans="1:22" x14ac:dyDescent="0.25">
      <c r="A661" t="str">
        <f>"657"</f>
        <v>657</v>
      </c>
      <c r="B661" t="str">
        <f t="shared" si="36"/>
        <v>102</v>
      </c>
      <c r="C661" t="str">
        <f t="shared" si="37"/>
        <v>27</v>
      </c>
      <c r="D661" t="str">
        <f>"12"</f>
        <v>12</v>
      </c>
      <c r="E661" t="str">
        <f>"102-27-12"</f>
        <v>102-27-12</v>
      </c>
      <c r="F661" t="s">
        <v>27</v>
      </c>
      <c r="G661" t="s">
        <v>28</v>
      </c>
      <c r="H661">
        <v>1</v>
      </c>
      <c r="Q661">
        <v>0</v>
      </c>
      <c r="R661">
        <v>1</v>
      </c>
      <c r="S661">
        <v>0</v>
      </c>
      <c r="T661">
        <v>1</v>
      </c>
      <c r="U661">
        <v>1</v>
      </c>
      <c r="V661">
        <v>0</v>
      </c>
    </row>
    <row r="662" spans="1:22" x14ac:dyDescent="0.25">
      <c r="A662" t="str">
        <f>"658"</f>
        <v>658</v>
      </c>
      <c r="B662" t="str">
        <f t="shared" si="36"/>
        <v>102</v>
      </c>
      <c r="C662" t="str">
        <f t="shared" si="37"/>
        <v>27</v>
      </c>
      <c r="D662" t="str">
        <f>"2"</f>
        <v>2</v>
      </c>
      <c r="E662" t="str">
        <f>"102-27-2"</f>
        <v>102-27-2</v>
      </c>
      <c r="F662" t="s">
        <v>27</v>
      </c>
      <c r="G662" t="s">
        <v>28</v>
      </c>
      <c r="H662">
        <v>1</v>
      </c>
      <c r="Q662">
        <v>1</v>
      </c>
      <c r="R662">
        <v>0</v>
      </c>
      <c r="S662">
        <v>1</v>
      </c>
      <c r="T662">
        <v>0</v>
      </c>
      <c r="U662">
        <v>1</v>
      </c>
      <c r="V662">
        <v>0</v>
      </c>
    </row>
    <row r="663" spans="1:22" x14ac:dyDescent="0.25">
      <c r="A663" t="str">
        <f>"659"</f>
        <v>659</v>
      </c>
      <c r="B663" t="str">
        <f t="shared" si="36"/>
        <v>102</v>
      </c>
      <c r="C663" t="str">
        <f t="shared" si="37"/>
        <v>27</v>
      </c>
      <c r="D663" t="str">
        <f>"22"</f>
        <v>22</v>
      </c>
      <c r="E663" t="str">
        <f>"102-27-22"</f>
        <v>102-27-22</v>
      </c>
      <c r="F663" t="s">
        <v>27</v>
      </c>
      <c r="G663" t="s">
        <v>28</v>
      </c>
      <c r="H663">
        <v>1</v>
      </c>
      <c r="Q663">
        <v>1</v>
      </c>
      <c r="R663">
        <v>0</v>
      </c>
      <c r="S663">
        <v>1</v>
      </c>
      <c r="T663">
        <v>0</v>
      </c>
      <c r="U663">
        <v>1</v>
      </c>
      <c r="V663">
        <v>0</v>
      </c>
    </row>
    <row r="664" spans="1:22" x14ac:dyDescent="0.25">
      <c r="A664" t="str">
        <f>"660"</f>
        <v>660</v>
      </c>
      <c r="B664" t="str">
        <f t="shared" si="36"/>
        <v>102</v>
      </c>
      <c r="C664" t="str">
        <f t="shared" si="37"/>
        <v>27</v>
      </c>
      <c r="D664" t="str">
        <f>"13"</f>
        <v>13</v>
      </c>
      <c r="E664" t="str">
        <f>"102-27-13"</f>
        <v>102-27-13</v>
      </c>
      <c r="F664" t="s">
        <v>27</v>
      </c>
      <c r="G664" t="s">
        <v>28</v>
      </c>
      <c r="H664">
        <v>1</v>
      </c>
      <c r="Q664">
        <v>0</v>
      </c>
      <c r="R664">
        <v>1</v>
      </c>
      <c r="S664">
        <v>0</v>
      </c>
      <c r="T664">
        <v>1</v>
      </c>
      <c r="U664">
        <v>1</v>
      </c>
      <c r="V664">
        <v>0</v>
      </c>
    </row>
    <row r="665" spans="1:22" x14ac:dyDescent="0.25">
      <c r="A665" t="str">
        <f>"661"</f>
        <v>661</v>
      </c>
      <c r="B665" t="str">
        <f t="shared" si="36"/>
        <v>102</v>
      </c>
      <c r="C665" t="str">
        <f t="shared" si="37"/>
        <v>27</v>
      </c>
      <c r="D665" t="str">
        <f>"10"</f>
        <v>10</v>
      </c>
      <c r="E665" t="str">
        <f>"102-27-10"</f>
        <v>102-27-10</v>
      </c>
      <c r="F665" t="s">
        <v>27</v>
      </c>
      <c r="G665" t="s">
        <v>28</v>
      </c>
      <c r="H665">
        <v>1</v>
      </c>
      <c r="Q665">
        <v>0</v>
      </c>
      <c r="R665">
        <v>1</v>
      </c>
      <c r="S665">
        <v>0</v>
      </c>
      <c r="T665">
        <v>1</v>
      </c>
      <c r="U665">
        <v>0</v>
      </c>
      <c r="V665">
        <v>1</v>
      </c>
    </row>
    <row r="666" spans="1:22" x14ac:dyDescent="0.25">
      <c r="A666" t="str">
        <f>"662"</f>
        <v>662</v>
      </c>
      <c r="B666" t="str">
        <f t="shared" si="36"/>
        <v>102</v>
      </c>
      <c r="C666" t="str">
        <f t="shared" si="37"/>
        <v>27</v>
      </c>
      <c r="D666" t="str">
        <f>"14"</f>
        <v>14</v>
      </c>
      <c r="E666" t="str">
        <f>"102-27-14"</f>
        <v>102-27-14</v>
      </c>
      <c r="F666" t="s">
        <v>27</v>
      </c>
      <c r="G666" t="s">
        <v>28</v>
      </c>
      <c r="H666">
        <v>1</v>
      </c>
      <c r="Q666">
        <v>1</v>
      </c>
      <c r="R666">
        <v>0</v>
      </c>
      <c r="S666">
        <v>1</v>
      </c>
      <c r="T666">
        <v>0</v>
      </c>
      <c r="U666">
        <v>1</v>
      </c>
      <c r="V666">
        <v>0</v>
      </c>
    </row>
    <row r="667" spans="1:22" x14ac:dyDescent="0.25">
      <c r="A667" t="str">
        <f>"663"</f>
        <v>663</v>
      </c>
      <c r="B667" t="str">
        <f t="shared" si="36"/>
        <v>102</v>
      </c>
      <c r="C667" t="str">
        <f t="shared" si="37"/>
        <v>27</v>
      </c>
      <c r="D667" t="str">
        <f>"6"</f>
        <v>6</v>
      </c>
      <c r="E667" t="str">
        <f>"102-27-6"</f>
        <v>102-27-6</v>
      </c>
      <c r="F667" t="s">
        <v>27</v>
      </c>
      <c r="G667" t="s">
        <v>28</v>
      </c>
      <c r="H667">
        <v>1</v>
      </c>
      <c r="Q667">
        <v>0</v>
      </c>
      <c r="R667">
        <v>1</v>
      </c>
      <c r="S667">
        <v>0</v>
      </c>
      <c r="T667">
        <v>1</v>
      </c>
      <c r="U667">
        <v>0</v>
      </c>
      <c r="V667">
        <v>1</v>
      </c>
    </row>
    <row r="668" spans="1:22" x14ac:dyDescent="0.25">
      <c r="A668" t="str">
        <f>"664"</f>
        <v>664</v>
      </c>
      <c r="B668" t="str">
        <f t="shared" si="36"/>
        <v>102</v>
      </c>
      <c r="C668" t="str">
        <f t="shared" si="37"/>
        <v>27</v>
      </c>
      <c r="D668" t="str">
        <f>"15"</f>
        <v>15</v>
      </c>
      <c r="E668" t="str">
        <f>"102-27-15"</f>
        <v>102-27-15</v>
      </c>
      <c r="F668" t="s">
        <v>27</v>
      </c>
      <c r="G668" t="s">
        <v>28</v>
      </c>
      <c r="H668">
        <v>1</v>
      </c>
      <c r="Q668">
        <v>0</v>
      </c>
      <c r="R668">
        <v>1</v>
      </c>
      <c r="S668">
        <v>0</v>
      </c>
      <c r="T668">
        <v>1</v>
      </c>
      <c r="U668">
        <v>0</v>
      </c>
      <c r="V668">
        <v>1</v>
      </c>
    </row>
    <row r="669" spans="1:22" x14ac:dyDescent="0.25">
      <c r="A669" t="str">
        <f>"665"</f>
        <v>665</v>
      </c>
      <c r="B669" t="str">
        <f t="shared" si="36"/>
        <v>102</v>
      </c>
      <c r="C669" t="str">
        <f t="shared" si="37"/>
        <v>27</v>
      </c>
      <c r="D669" t="str">
        <f>"3"</f>
        <v>3</v>
      </c>
      <c r="E669" t="str">
        <f>"102-27-3"</f>
        <v>102-27-3</v>
      </c>
      <c r="F669" t="s">
        <v>27</v>
      </c>
      <c r="G669" t="s">
        <v>28</v>
      </c>
      <c r="H669">
        <v>1</v>
      </c>
      <c r="Q669">
        <v>0</v>
      </c>
      <c r="R669">
        <v>1</v>
      </c>
      <c r="S669">
        <v>0</v>
      </c>
      <c r="T669">
        <v>1</v>
      </c>
      <c r="U669">
        <v>1</v>
      </c>
      <c r="V669">
        <v>0</v>
      </c>
    </row>
    <row r="670" spans="1:22" x14ac:dyDescent="0.25">
      <c r="A670" t="str">
        <f>"666"</f>
        <v>666</v>
      </c>
      <c r="B670" t="str">
        <f t="shared" si="36"/>
        <v>102</v>
      </c>
      <c r="C670" t="str">
        <f t="shared" si="37"/>
        <v>27</v>
      </c>
      <c r="D670" t="str">
        <f>"16"</f>
        <v>16</v>
      </c>
      <c r="E670" t="str">
        <f>"102-27-16"</f>
        <v>102-27-16</v>
      </c>
      <c r="F670" t="s">
        <v>27</v>
      </c>
      <c r="G670" t="s">
        <v>28</v>
      </c>
      <c r="H670">
        <v>1</v>
      </c>
      <c r="Q670">
        <v>0</v>
      </c>
      <c r="R670">
        <v>1</v>
      </c>
      <c r="S670">
        <v>0</v>
      </c>
      <c r="T670">
        <v>1</v>
      </c>
      <c r="U670">
        <v>0</v>
      </c>
      <c r="V670">
        <v>1</v>
      </c>
    </row>
    <row r="671" spans="1:22" x14ac:dyDescent="0.25">
      <c r="A671" t="str">
        <f>"667"</f>
        <v>667</v>
      </c>
      <c r="B671" t="str">
        <f t="shared" si="36"/>
        <v>102</v>
      </c>
      <c r="C671" t="str">
        <f t="shared" si="37"/>
        <v>27</v>
      </c>
      <c r="D671" t="str">
        <f>"4"</f>
        <v>4</v>
      </c>
      <c r="E671" t="str">
        <f>"102-27-4"</f>
        <v>102-27-4</v>
      </c>
      <c r="F671" t="s">
        <v>27</v>
      </c>
      <c r="G671" t="s">
        <v>28</v>
      </c>
      <c r="H671">
        <v>1</v>
      </c>
      <c r="Q671">
        <v>0</v>
      </c>
      <c r="R671">
        <v>1</v>
      </c>
      <c r="S671">
        <v>0</v>
      </c>
      <c r="T671">
        <v>1</v>
      </c>
      <c r="U671">
        <v>1</v>
      </c>
      <c r="V671">
        <v>0</v>
      </c>
    </row>
    <row r="672" spans="1:22" x14ac:dyDescent="0.25">
      <c r="A672" t="str">
        <f>"668"</f>
        <v>668</v>
      </c>
      <c r="B672" t="str">
        <f t="shared" si="36"/>
        <v>102</v>
      </c>
      <c r="C672" t="str">
        <f t="shared" si="37"/>
        <v>27</v>
      </c>
      <c r="D672" t="str">
        <f>"17"</f>
        <v>17</v>
      </c>
      <c r="E672" t="str">
        <f>"102-27-17"</f>
        <v>102-27-17</v>
      </c>
      <c r="F672" t="s">
        <v>27</v>
      </c>
      <c r="G672" t="s">
        <v>28</v>
      </c>
      <c r="H672">
        <v>1</v>
      </c>
      <c r="Q672">
        <v>1</v>
      </c>
      <c r="R672">
        <v>0</v>
      </c>
      <c r="S672">
        <v>1</v>
      </c>
      <c r="T672">
        <v>0</v>
      </c>
      <c r="U672">
        <v>1</v>
      </c>
      <c r="V672">
        <v>0</v>
      </c>
    </row>
    <row r="673" spans="1:22" x14ac:dyDescent="0.25">
      <c r="A673" t="str">
        <f>"669"</f>
        <v>669</v>
      </c>
      <c r="B673" t="str">
        <f t="shared" si="36"/>
        <v>102</v>
      </c>
      <c r="C673" t="str">
        <f t="shared" si="37"/>
        <v>27</v>
      </c>
      <c r="D673" t="str">
        <f>"8"</f>
        <v>8</v>
      </c>
      <c r="E673" t="str">
        <f>"102-27-8"</f>
        <v>102-27-8</v>
      </c>
      <c r="F673" t="s">
        <v>27</v>
      </c>
      <c r="G673" t="s">
        <v>28</v>
      </c>
      <c r="H673">
        <v>1</v>
      </c>
      <c r="Q673">
        <v>1</v>
      </c>
      <c r="R673">
        <v>0</v>
      </c>
      <c r="S673">
        <v>0</v>
      </c>
      <c r="T673">
        <v>1</v>
      </c>
      <c r="U673">
        <v>1</v>
      </c>
      <c r="V673">
        <v>0</v>
      </c>
    </row>
    <row r="674" spans="1:22" x14ac:dyDescent="0.25">
      <c r="A674" t="str">
        <f>"670"</f>
        <v>670</v>
      </c>
      <c r="B674" t="str">
        <f t="shared" si="36"/>
        <v>102</v>
      </c>
      <c r="C674" t="str">
        <f t="shared" si="37"/>
        <v>27</v>
      </c>
      <c r="D674" t="str">
        <f>"18"</f>
        <v>18</v>
      </c>
      <c r="E674" t="str">
        <f>"102-27-18"</f>
        <v>102-27-18</v>
      </c>
      <c r="F674" t="s">
        <v>27</v>
      </c>
      <c r="G674" t="s">
        <v>28</v>
      </c>
      <c r="H674">
        <v>1</v>
      </c>
      <c r="Q674">
        <v>1</v>
      </c>
      <c r="R674">
        <v>0</v>
      </c>
      <c r="S674">
        <v>1</v>
      </c>
      <c r="T674">
        <v>0</v>
      </c>
      <c r="U674">
        <v>1</v>
      </c>
      <c r="V674">
        <v>0</v>
      </c>
    </row>
    <row r="675" spans="1:22" x14ac:dyDescent="0.25">
      <c r="A675" t="str">
        <f>"671"</f>
        <v>671</v>
      </c>
      <c r="B675" t="str">
        <f t="shared" si="36"/>
        <v>102</v>
      </c>
      <c r="C675" t="str">
        <f t="shared" si="37"/>
        <v>27</v>
      </c>
      <c r="D675" t="str">
        <f>"7"</f>
        <v>7</v>
      </c>
      <c r="E675" t="str">
        <f>"102-27-7"</f>
        <v>102-27-7</v>
      </c>
      <c r="F675" t="s">
        <v>27</v>
      </c>
      <c r="G675" t="s">
        <v>28</v>
      </c>
      <c r="H675">
        <v>1</v>
      </c>
      <c r="Q675">
        <v>1</v>
      </c>
      <c r="R675">
        <v>0</v>
      </c>
      <c r="S675">
        <v>0</v>
      </c>
      <c r="T675">
        <v>1</v>
      </c>
      <c r="U675">
        <v>1</v>
      </c>
      <c r="V675">
        <v>0</v>
      </c>
    </row>
    <row r="676" spans="1:22" x14ac:dyDescent="0.25">
      <c r="A676" t="str">
        <f>"672"</f>
        <v>672</v>
      </c>
      <c r="B676" t="str">
        <f t="shared" si="36"/>
        <v>102</v>
      </c>
      <c r="C676" t="str">
        <f t="shared" si="37"/>
        <v>27</v>
      </c>
      <c r="D676" t="str">
        <f>"19"</f>
        <v>19</v>
      </c>
      <c r="E676" t="str">
        <f>"102-27-19"</f>
        <v>102-27-19</v>
      </c>
      <c r="F676" t="s">
        <v>27</v>
      </c>
      <c r="G676" t="s">
        <v>28</v>
      </c>
      <c r="H676">
        <v>1</v>
      </c>
      <c r="Q676">
        <v>0</v>
      </c>
      <c r="R676">
        <v>1</v>
      </c>
      <c r="S676">
        <v>0</v>
      </c>
      <c r="T676">
        <v>1</v>
      </c>
      <c r="U676">
        <v>0</v>
      </c>
      <c r="V676">
        <v>1</v>
      </c>
    </row>
    <row r="677" spans="1:22" x14ac:dyDescent="0.25">
      <c r="A677" t="str">
        <f>"673"</f>
        <v>673</v>
      </c>
      <c r="B677" t="str">
        <f t="shared" si="36"/>
        <v>102</v>
      </c>
      <c r="C677" t="str">
        <f t="shared" si="37"/>
        <v>27</v>
      </c>
      <c r="D677" t="str">
        <f>"5"</f>
        <v>5</v>
      </c>
      <c r="E677" t="str">
        <f>"102-27-5"</f>
        <v>102-27-5</v>
      </c>
      <c r="F677" t="s">
        <v>27</v>
      </c>
      <c r="G677" t="s">
        <v>28</v>
      </c>
      <c r="H677">
        <v>1</v>
      </c>
      <c r="Q677">
        <v>0</v>
      </c>
      <c r="R677">
        <v>1</v>
      </c>
      <c r="S677">
        <v>0</v>
      </c>
      <c r="T677">
        <v>1</v>
      </c>
      <c r="U677">
        <v>0</v>
      </c>
      <c r="V677">
        <v>1</v>
      </c>
    </row>
    <row r="678" spans="1:22" x14ac:dyDescent="0.25">
      <c r="A678" t="str">
        <f>"674"</f>
        <v>674</v>
      </c>
      <c r="B678" t="str">
        <f t="shared" si="36"/>
        <v>102</v>
      </c>
      <c r="C678" t="str">
        <f t="shared" si="37"/>
        <v>27</v>
      </c>
      <c r="D678" t="str">
        <f>"21"</f>
        <v>21</v>
      </c>
      <c r="E678" t="str">
        <f>"102-27-21"</f>
        <v>102-27-21</v>
      </c>
      <c r="F678" t="s">
        <v>27</v>
      </c>
      <c r="G678" t="s">
        <v>28</v>
      </c>
      <c r="H678">
        <v>1</v>
      </c>
      <c r="Q678">
        <v>1</v>
      </c>
      <c r="R678">
        <v>0</v>
      </c>
      <c r="S678">
        <v>1</v>
      </c>
      <c r="T678">
        <v>0</v>
      </c>
      <c r="U678">
        <v>1</v>
      </c>
      <c r="V678">
        <v>0</v>
      </c>
    </row>
    <row r="679" spans="1:22" x14ac:dyDescent="0.25">
      <c r="A679" t="str">
        <f>"675"</f>
        <v>675</v>
      </c>
      <c r="B679" t="str">
        <f t="shared" si="36"/>
        <v>102</v>
      </c>
      <c r="C679" t="str">
        <f t="shared" si="37"/>
        <v>27</v>
      </c>
      <c r="D679" t="str">
        <f>"9"</f>
        <v>9</v>
      </c>
      <c r="E679" t="str">
        <f>"102-27-9"</f>
        <v>102-27-9</v>
      </c>
      <c r="F679" t="s">
        <v>27</v>
      </c>
      <c r="G679" t="s">
        <v>28</v>
      </c>
      <c r="H679">
        <v>1</v>
      </c>
      <c r="Q679">
        <v>0</v>
      </c>
      <c r="R679">
        <v>1</v>
      </c>
      <c r="S679">
        <v>0</v>
      </c>
      <c r="T679">
        <v>1</v>
      </c>
      <c r="U679">
        <v>0</v>
      </c>
      <c r="V679">
        <v>1</v>
      </c>
    </row>
    <row r="680" spans="1:22" x14ac:dyDescent="0.25">
      <c r="A680" t="str">
        <f>"676"</f>
        <v>676</v>
      </c>
      <c r="B680" t="str">
        <f t="shared" si="36"/>
        <v>102</v>
      </c>
      <c r="C680" t="str">
        <f t="shared" ref="C680:C704" si="38">"28"</f>
        <v>28</v>
      </c>
      <c r="D680" t="str">
        <f>"21"</f>
        <v>21</v>
      </c>
      <c r="E680" t="str">
        <f>"102-28-21"</f>
        <v>102-28-21</v>
      </c>
      <c r="F680" t="s">
        <v>27</v>
      </c>
      <c r="G680" t="s">
        <v>28</v>
      </c>
      <c r="H680">
        <v>1</v>
      </c>
      <c r="Q680">
        <v>0</v>
      </c>
      <c r="R680">
        <v>1</v>
      </c>
      <c r="S680">
        <v>0</v>
      </c>
      <c r="T680">
        <v>1</v>
      </c>
      <c r="U680">
        <v>1</v>
      </c>
      <c r="V680">
        <v>0</v>
      </c>
    </row>
    <row r="681" spans="1:22" x14ac:dyDescent="0.25">
      <c r="A681" t="str">
        <f>"677"</f>
        <v>677</v>
      </c>
      <c r="B681" t="str">
        <f t="shared" si="36"/>
        <v>102</v>
      </c>
      <c r="C681" t="str">
        <f t="shared" si="38"/>
        <v>28</v>
      </c>
      <c r="D681" t="str">
        <f>"11"</f>
        <v>11</v>
      </c>
      <c r="E681" t="str">
        <f>"102-28-11"</f>
        <v>102-28-11</v>
      </c>
      <c r="F681" t="s">
        <v>27</v>
      </c>
      <c r="G681" t="s">
        <v>28</v>
      </c>
      <c r="H681">
        <v>1</v>
      </c>
      <c r="Q681">
        <v>1</v>
      </c>
      <c r="R681">
        <v>0</v>
      </c>
      <c r="S681">
        <v>1</v>
      </c>
      <c r="T681">
        <v>0</v>
      </c>
      <c r="U681">
        <v>1</v>
      </c>
      <c r="V681">
        <v>0</v>
      </c>
    </row>
    <row r="682" spans="1:22" x14ac:dyDescent="0.25">
      <c r="A682" t="str">
        <f>"678"</f>
        <v>678</v>
      </c>
      <c r="B682" t="str">
        <f t="shared" si="36"/>
        <v>102</v>
      </c>
      <c r="C682" t="str">
        <f t="shared" si="38"/>
        <v>28</v>
      </c>
      <c r="D682" t="str">
        <f>"1"</f>
        <v>1</v>
      </c>
      <c r="E682" t="str">
        <f>"102-28-1"</f>
        <v>102-28-1</v>
      </c>
      <c r="F682" t="s">
        <v>27</v>
      </c>
      <c r="G682" t="s">
        <v>28</v>
      </c>
      <c r="H682">
        <v>1</v>
      </c>
      <c r="Q682">
        <v>0</v>
      </c>
      <c r="R682">
        <v>1</v>
      </c>
      <c r="S682">
        <v>0</v>
      </c>
      <c r="T682">
        <v>1</v>
      </c>
      <c r="U682">
        <v>1</v>
      </c>
      <c r="V682">
        <v>0</v>
      </c>
    </row>
    <row r="683" spans="1:22" x14ac:dyDescent="0.25">
      <c r="A683" t="str">
        <f>"679"</f>
        <v>679</v>
      </c>
      <c r="B683" t="str">
        <f t="shared" si="36"/>
        <v>102</v>
      </c>
      <c r="C683" t="str">
        <f t="shared" si="38"/>
        <v>28</v>
      </c>
      <c r="D683" t="str">
        <f>"22"</f>
        <v>22</v>
      </c>
      <c r="E683" t="str">
        <f>"102-28-22"</f>
        <v>102-28-22</v>
      </c>
      <c r="F683" t="s">
        <v>27</v>
      </c>
      <c r="G683" t="s">
        <v>28</v>
      </c>
      <c r="H683">
        <v>1</v>
      </c>
      <c r="Q683">
        <v>0</v>
      </c>
      <c r="R683">
        <v>1</v>
      </c>
      <c r="S683">
        <v>0</v>
      </c>
      <c r="T683">
        <v>1</v>
      </c>
      <c r="U683">
        <v>0</v>
      </c>
      <c r="V683">
        <v>1</v>
      </c>
    </row>
    <row r="684" spans="1:22" x14ac:dyDescent="0.25">
      <c r="A684" t="str">
        <f>"680"</f>
        <v>680</v>
      </c>
      <c r="B684" t="str">
        <f t="shared" si="36"/>
        <v>102</v>
      </c>
      <c r="C684" t="str">
        <f t="shared" si="38"/>
        <v>28</v>
      </c>
      <c r="D684" t="str">
        <f>"12"</f>
        <v>12</v>
      </c>
      <c r="E684" t="str">
        <f>"102-28-12"</f>
        <v>102-28-12</v>
      </c>
      <c r="F684" t="s">
        <v>27</v>
      </c>
      <c r="G684" t="s">
        <v>28</v>
      </c>
      <c r="H684">
        <v>1</v>
      </c>
      <c r="Q684">
        <v>0</v>
      </c>
      <c r="R684">
        <v>1</v>
      </c>
      <c r="S684">
        <v>0</v>
      </c>
      <c r="T684">
        <v>1</v>
      </c>
      <c r="U684">
        <v>0</v>
      </c>
      <c r="V684">
        <v>1</v>
      </c>
    </row>
    <row r="685" spans="1:22" x14ac:dyDescent="0.25">
      <c r="A685" t="str">
        <f>"681"</f>
        <v>681</v>
      </c>
      <c r="B685" t="str">
        <f t="shared" si="36"/>
        <v>102</v>
      </c>
      <c r="C685" t="str">
        <f t="shared" si="38"/>
        <v>28</v>
      </c>
      <c r="D685" t="str">
        <f>"2"</f>
        <v>2</v>
      </c>
      <c r="E685" t="str">
        <f>"102-28-2"</f>
        <v>102-28-2</v>
      </c>
      <c r="F685" t="s">
        <v>27</v>
      </c>
      <c r="G685" t="s">
        <v>28</v>
      </c>
      <c r="H685">
        <v>1</v>
      </c>
      <c r="Q685">
        <v>1</v>
      </c>
      <c r="R685">
        <v>0</v>
      </c>
      <c r="S685">
        <v>1</v>
      </c>
      <c r="T685">
        <v>0</v>
      </c>
      <c r="U685">
        <v>1</v>
      </c>
      <c r="V685">
        <v>0</v>
      </c>
    </row>
    <row r="686" spans="1:22" x14ac:dyDescent="0.25">
      <c r="A686" t="str">
        <f>"682"</f>
        <v>682</v>
      </c>
      <c r="B686" t="str">
        <f t="shared" si="36"/>
        <v>102</v>
      </c>
      <c r="C686" t="str">
        <f t="shared" si="38"/>
        <v>28</v>
      </c>
      <c r="D686" t="str">
        <f>"23"</f>
        <v>23</v>
      </c>
      <c r="E686" t="str">
        <f>"102-28-23"</f>
        <v>102-28-23</v>
      </c>
      <c r="F686" t="s">
        <v>27</v>
      </c>
      <c r="G686" t="s">
        <v>28</v>
      </c>
      <c r="H686">
        <v>1</v>
      </c>
      <c r="Q686">
        <v>1</v>
      </c>
      <c r="R686">
        <v>0</v>
      </c>
      <c r="S686">
        <v>1</v>
      </c>
      <c r="T686">
        <v>0</v>
      </c>
      <c r="U686">
        <v>0</v>
      </c>
      <c r="V686">
        <v>1</v>
      </c>
    </row>
    <row r="687" spans="1:22" x14ac:dyDescent="0.25">
      <c r="A687" t="str">
        <f>"683"</f>
        <v>683</v>
      </c>
      <c r="B687" t="str">
        <f t="shared" si="36"/>
        <v>102</v>
      </c>
      <c r="C687" t="str">
        <f t="shared" si="38"/>
        <v>28</v>
      </c>
      <c r="D687" t="str">
        <f>"13"</f>
        <v>13</v>
      </c>
      <c r="E687" t="str">
        <f>"102-28-13"</f>
        <v>102-28-13</v>
      </c>
      <c r="F687" t="s">
        <v>27</v>
      </c>
      <c r="G687" t="s">
        <v>28</v>
      </c>
      <c r="H687">
        <v>1</v>
      </c>
      <c r="Q687">
        <v>1</v>
      </c>
      <c r="R687">
        <v>0</v>
      </c>
      <c r="S687">
        <v>1</v>
      </c>
      <c r="T687">
        <v>0</v>
      </c>
      <c r="U687">
        <v>1</v>
      </c>
      <c r="V687">
        <v>0</v>
      </c>
    </row>
    <row r="688" spans="1:22" x14ac:dyDescent="0.25">
      <c r="A688" t="str">
        <f>"684"</f>
        <v>684</v>
      </c>
      <c r="B688" t="str">
        <f t="shared" si="36"/>
        <v>102</v>
      </c>
      <c r="C688" t="str">
        <f t="shared" si="38"/>
        <v>28</v>
      </c>
      <c r="D688" t="str">
        <f>"5"</f>
        <v>5</v>
      </c>
      <c r="E688" t="str">
        <f>"102-28-5"</f>
        <v>102-28-5</v>
      </c>
      <c r="F688" t="s">
        <v>27</v>
      </c>
      <c r="G688" t="s">
        <v>28</v>
      </c>
      <c r="H688">
        <v>1</v>
      </c>
      <c r="Q688">
        <v>0</v>
      </c>
      <c r="R688">
        <v>0</v>
      </c>
      <c r="S688">
        <v>1</v>
      </c>
      <c r="T688">
        <v>0</v>
      </c>
      <c r="U688">
        <v>0</v>
      </c>
      <c r="V688">
        <v>1</v>
      </c>
    </row>
    <row r="689" spans="1:24" x14ac:dyDescent="0.25">
      <c r="A689" t="str">
        <f>"685"</f>
        <v>685</v>
      </c>
      <c r="B689" t="str">
        <f t="shared" si="36"/>
        <v>102</v>
      </c>
      <c r="C689" t="str">
        <f t="shared" si="38"/>
        <v>28</v>
      </c>
      <c r="D689" t="str">
        <f>"14"</f>
        <v>14</v>
      </c>
      <c r="E689" t="str">
        <f>"102-28-14"</f>
        <v>102-28-14</v>
      </c>
      <c r="F689" t="s">
        <v>27</v>
      </c>
      <c r="G689" t="s">
        <v>28</v>
      </c>
      <c r="H689">
        <v>1</v>
      </c>
      <c r="Q689">
        <v>0</v>
      </c>
      <c r="R689">
        <v>1</v>
      </c>
      <c r="S689">
        <v>0</v>
      </c>
      <c r="T689">
        <v>1</v>
      </c>
      <c r="U689">
        <v>1</v>
      </c>
      <c r="V689">
        <v>0</v>
      </c>
    </row>
    <row r="690" spans="1:24" x14ac:dyDescent="0.25">
      <c r="A690" t="str">
        <f>"686"</f>
        <v>686</v>
      </c>
      <c r="B690" t="str">
        <f t="shared" si="36"/>
        <v>102</v>
      </c>
      <c r="C690" t="str">
        <f t="shared" si="38"/>
        <v>28</v>
      </c>
      <c r="D690" t="str">
        <f>"9"</f>
        <v>9</v>
      </c>
      <c r="E690" t="str">
        <f>"102-28-9"</f>
        <v>102-28-9</v>
      </c>
      <c r="F690" t="s">
        <v>27</v>
      </c>
      <c r="G690" t="s">
        <v>28</v>
      </c>
      <c r="H690">
        <v>1</v>
      </c>
      <c r="Q690">
        <v>0</v>
      </c>
      <c r="R690">
        <v>1</v>
      </c>
      <c r="S690">
        <v>0</v>
      </c>
      <c r="T690">
        <v>1</v>
      </c>
      <c r="U690">
        <v>0</v>
      </c>
      <c r="V690">
        <v>1</v>
      </c>
    </row>
    <row r="691" spans="1:24" x14ac:dyDescent="0.25">
      <c r="A691" t="str">
        <f>"687"</f>
        <v>687</v>
      </c>
      <c r="B691" t="str">
        <f t="shared" si="36"/>
        <v>102</v>
      </c>
      <c r="C691" t="str">
        <f t="shared" si="38"/>
        <v>28</v>
      </c>
      <c r="D691" t="str">
        <f>"25"</f>
        <v>25</v>
      </c>
      <c r="E691" t="str">
        <f>"102-28-25"</f>
        <v>102-28-25</v>
      </c>
      <c r="F691" t="s">
        <v>27</v>
      </c>
      <c r="G691" t="s">
        <v>30</v>
      </c>
      <c r="H691">
        <v>2</v>
      </c>
      <c r="I691">
        <v>0</v>
      </c>
      <c r="J691">
        <v>0</v>
      </c>
      <c r="K691">
        <v>0</v>
      </c>
      <c r="L691">
        <v>1</v>
      </c>
      <c r="Q691">
        <v>0</v>
      </c>
      <c r="R691">
        <v>1</v>
      </c>
      <c r="S691">
        <v>0</v>
      </c>
      <c r="T691">
        <v>1</v>
      </c>
      <c r="U691">
        <v>0</v>
      </c>
      <c r="V691">
        <v>1</v>
      </c>
      <c r="W691">
        <v>0</v>
      </c>
      <c r="X691">
        <v>1</v>
      </c>
    </row>
    <row r="692" spans="1:24" x14ac:dyDescent="0.25">
      <c r="A692" t="str">
        <f>"688"</f>
        <v>688</v>
      </c>
      <c r="B692" t="str">
        <f t="shared" si="36"/>
        <v>102</v>
      </c>
      <c r="C692" t="str">
        <f t="shared" si="38"/>
        <v>28</v>
      </c>
      <c r="D692" t="str">
        <f>"15"</f>
        <v>15</v>
      </c>
      <c r="E692" t="str">
        <f>"102-28-15"</f>
        <v>102-28-15</v>
      </c>
      <c r="F692" t="s">
        <v>27</v>
      </c>
      <c r="G692" t="s">
        <v>28</v>
      </c>
      <c r="H692">
        <v>1</v>
      </c>
      <c r="Q692">
        <v>0</v>
      </c>
      <c r="R692">
        <v>1</v>
      </c>
      <c r="S692">
        <v>0</v>
      </c>
      <c r="T692">
        <v>1</v>
      </c>
      <c r="U692">
        <v>0</v>
      </c>
      <c r="V692">
        <v>1</v>
      </c>
    </row>
    <row r="693" spans="1:24" x14ac:dyDescent="0.25">
      <c r="A693" t="str">
        <f>"689"</f>
        <v>689</v>
      </c>
      <c r="B693" t="str">
        <f t="shared" si="36"/>
        <v>102</v>
      </c>
      <c r="C693" t="str">
        <f t="shared" si="38"/>
        <v>28</v>
      </c>
      <c r="D693" t="str">
        <f>"6"</f>
        <v>6</v>
      </c>
      <c r="E693" t="str">
        <f>"102-28-6"</f>
        <v>102-28-6</v>
      </c>
      <c r="F693" t="s">
        <v>27</v>
      </c>
      <c r="G693" t="s">
        <v>28</v>
      </c>
      <c r="H693">
        <v>1</v>
      </c>
      <c r="Q693">
        <v>0</v>
      </c>
      <c r="R693">
        <v>1</v>
      </c>
      <c r="S693">
        <v>0</v>
      </c>
      <c r="T693">
        <v>1</v>
      </c>
      <c r="U693">
        <v>0</v>
      </c>
      <c r="V693">
        <v>1</v>
      </c>
    </row>
    <row r="694" spans="1:24" x14ac:dyDescent="0.25">
      <c r="A694" t="str">
        <f>"690"</f>
        <v>690</v>
      </c>
      <c r="B694" t="str">
        <f t="shared" si="36"/>
        <v>102</v>
      </c>
      <c r="C694" t="str">
        <f t="shared" si="38"/>
        <v>28</v>
      </c>
      <c r="D694" t="str">
        <f>"24"</f>
        <v>24</v>
      </c>
      <c r="E694" t="str">
        <f>"102-28-24"</f>
        <v>102-28-24</v>
      </c>
      <c r="F694" t="s">
        <v>27</v>
      </c>
      <c r="G694" t="s">
        <v>28</v>
      </c>
      <c r="H694">
        <v>1</v>
      </c>
      <c r="Q694">
        <v>0</v>
      </c>
      <c r="R694">
        <v>1</v>
      </c>
      <c r="S694">
        <v>0</v>
      </c>
      <c r="T694">
        <v>1</v>
      </c>
      <c r="U694">
        <v>1</v>
      </c>
      <c r="V694">
        <v>0</v>
      </c>
    </row>
    <row r="695" spans="1:24" x14ac:dyDescent="0.25">
      <c r="A695" t="str">
        <f>"691"</f>
        <v>691</v>
      </c>
      <c r="B695" t="str">
        <f t="shared" si="36"/>
        <v>102</v>
      </c>
      <c r="C695" t="str">
        <f t="shared" si="38"/>
        <v>28</v>
      </c>
      <c r="D695" t="str">
        <f>"16"</f>
        <v>16</v>
      </c>
      <c r="E695" t="str">
        <f>"102-28-16"</f>
        <v>102-28-16</v>
      </c>
      <c r="F695" t="s">
        <v>27</v>
      </c>
      <c r="G695" t="s">
        <v>28</v>
      </c>
      <c r="H695">
        <v>1</v>
      </c>
      <c r="Q695">
        <v>1</v>
      </c>
      <c r="R695">
        <v>0</v>
      </c>
      <c r="S695">
        <v>1</v>
      </c>
      <c r="T695">
        <v>0</v>
      </c>
      <c r="U695">
        <v>0</v>
      </c>
      <c r="V695">
        <v>1</v>
      </c>
    </row>
    <row r="696" spans="1:24" x14ac:dyDescent="0.25">
      <c r="A696" t="str">
        <f>"692"</f>
        <v>692</v>
      </c>
      <c r="B696" t="str">
        <f t="shared" si="36"/>
        <v>102</v>
      </c>
      <c r="C696" t="str">
        <f t="shared" si="38"/>
        <v>28</v>
      </c>
      <c r="D696" t="str">
        <f>"10"</f>
        <v>10</v>
      </c>
      <c r="E696" t="str">
        <f>"102-28-10"</f>
        <v>102-28-10</v>
      </c>
      <c r="F696" t="s">
        <v>27</v>
      </c>
      <c r="G696" t="s">
        <v>28</v>
      </c>
      <c r="H696">
        <v>1</v>
      </c>
      <c r="Q696">
        <v>1</v>
      </c>
      <c r="R696">
        <v>0</v>
      </c>
      <c r="S696">
        <v>1</v>
      </c>
      <c r="T696">
        <v>0</v>
      </c>
      <c r="U696">
        <v>1</v>
      </c>
      <c r="V696">
        <v>0</v>
      </c>
    </row>
    <row r="697" spans="1:24" x14ac:dyDescent="0.25">
      <c r="A697" t="str">
        <f>"693"</f>
        <v>693</v>
      </c>
      <c r="B697" t="str">
        <f t="shared" si="36"/>
        <v>102</v>
      </c>
      <c r="C697" t="str">
        <f t="shared" si="38"/>
        <v>28</v>
      </c>
      <c r="D697" t="str">
        <f>"17"</f>
        <v>17</v>
      </c>
      <c r="E697" t="str">
        <f>"102-28-17"</f>
        <v>102-28-17</v>
      </c>
      <c r="F697" t="s">
        <v>27</v>
      </c>
      <c r="G697" t="s">
        <v>28</v>
      </c>
      <c r="H697">
        <v>1</v>
      </c>
      <c r="Q697">
        <v>0</v>
      </c>
      <c r="R697">
        <v>1</v>
      </c>
      <c r="S697">
        <v>0</v>
      </c>
      <c r="T697">
        <v>1</v>
      </c>
      <c r="U697">
        <v>1</v>
      </c>
      <c r="V697">
        <v>0</v>
      </c>
    </row>
    <row r="698" spans="1:24" x14ac:dyDescent="0.25">
      <c r="A698" t="str">
        <f>"694"</f>
        <v>694</v>
      </c>
      <c r="B698" t="str">
        <f t="shared" si="36"/>
        <v>102</v>
      </c>
      <c r="C698" t="str">
        <f t="shared" si="38"/>
        <v>28</v>
      </c>
      <c r="D698" t="str">
        <f>"8"</f>
        <v>8</v>
      </c>
      <c r="E698" t="str">
        <f>"102-28-8"</f>
        <v>102-28-8</v>
      </c>
      <c r="F698" t="s">
        <v>27</v>
      </c>
      <c r="G698" t="s">
        <v>28</v>
      </c>
      <c r="H698">
        <v>1</v>
      </c>
      <c r="Q698">
        <v>0</v>
      </c>
      <c r="R698">
        <v>1</v>
      </c>
      <c r="S698">
        <v>0</v>
      </c>
      <c r="T698">
        <v>1</v>
      </c>
      <c r="U698">
        <v>0</v>
      </c>
      <c r="V698">
        <v>1</v>
      </c>
    </row>
    <row r="699" spans="1:24" x14ac:dyDescent="0.25">
      <c r="A699" t="str">
        <f>"695"</f>
        <v>695</v>
      </c>
      <c r="B699" t="str">
        <f t="shared" si="36"/>
        <v>102</v>
      </c>
      <c r="C699" t="str">
        <f t="shared" si="38"/>
        <v>28</v>
      </c>
      <c r="D699" t="str">
        <f>"18"</f>
        <v>18</v>
      </c>
      <c r="E699" t="str">
        <f>"102-28-18"</f>
        <v>102-28-18</v>
      </c>
      <c r="F699" t="s">
        <v>27</v>
      </c>
      <c r="G699" t="s">
        <v>28</v>
      </c>
      <c r="H699">
        <v>1</v>
      </c>
      <c r="Q699">
        <v>0</v>
      </c>
      <c r="R699">
        <v>1</v>
      </c>
      <c r="S699">
        <v>0</v>
      </c>
      <c r="T699">
        <v>1</v>
      </c>
      <c r="U699">
        <v>0</v>
      </c>
      <c r="V699">
        <v>1</v>
      </c>
    </row>
    <row r="700" spans="1:24" x14ac:dyDescent="0.25">
      <c r="A700" t="str">
        <f>"696"</f>
        <v>696</v>
      </c>
      <c r="B700" t="str">
        <f t="shared" si="36"/>
        <v>102</v>
      </c>
      <c r="C700" t="str">
        <f t="shared" si="38"/>
        <v>28</v>
      </c>
      <c r="D700" t="str">
        <f>"7"</f>
        <v>7</v>
      </c>
      <c r="E700" t="str">
        <f>"102-28-7"</f>
        <v>102-28-7</v>
      </c>
      <c r="F700" t="s">
        <v>27</v>
      </c>
      <c r="G700" t="s">
        <v>28</v>
      </c>
      <c r="H700">
        <v>1</v>
      </c>
      <c r="Q700">
        <v>0</v>
      </c>
      <c r="R700">
        <v>1</v>
      </c>
      <c r="S700">
        <v>0</v>
      </c>
      <c r="T700">
        <v>1</v>
      </c>
      <c r="U700">
        <v>1</v>
      </c>
      <c r="V700">
        <v>0</v>
      </c>
    </row>
    <row r="701" spans="1:24" x14ac:dyDescent="0.25">
      <c r="A701" t="str">
        <f>"697"</f>
        <v>697</v>
      </c>
      <c r="B701" t="str">
        <f t="shared" si="36"/>
        <v>102</v>
      </c>
      <c r="C701" t="str">
        <f t="shared" si="38"/>
        <v>28</v>
      </c>
      <c r="D701" t="str">
        <f>"19"</f>
        <v>19</v>
      </c>
      <c r="E701" t="str">
        <f>"102-28-19"</f>
        <v>102-28-19</v>
      </c>
      <c r="F701" t="s">
        <v>27</v>
      </c>
      <c r="G701" t="s">
        <v>28</v>
      </c>
      <c r="H701">
        <v>1</v>
      </c>
      <c r="Q701">
        <v>0</v>
      </c>
      <c r="R701">
        <v>1</v>
      </c>
      <c r="S701">
        <v>0</v>
      </c>
      <c r="T701">
        <v>1</v>
      </c>
      <c r="U701">
        <v>0</v>
      </c>
      <c r="V701">
        <v>1</v>
      </c>
    </row>
    <row r="702" spans="1:24" x14ac:dyDescent="0.25">
      <c r="A702" t="str">
        <f>"698"</f>
        <v>698</v>
      </c>
      <c r="B702" t="str">
        <f t="shared" si="36"/>
        <v>102</v>
      </c>
      <c r="C702" t="str">
        <f t="shared" si="38"/>
        <v>28</v>
      </c>
      <c r="D702" t="str">
        <f>"4"</f>
        <v>4</v>
      </c>
      <c r="E702" t="str">
        <f>"102-28-4"</f>
        <v>102-28-4</v>
      </c>
      <c r="F702" t="s">
        <v>27</v>
      </c>
      <c r="G702" t="s">
        <v>28</v>
      </c>
      <c r="H702">
        <v>1</v>
      </c>
      <c r="Q702">
        <v>0</v>
      </c>
      <c r="R702">
        <v>1</v>
      </c>
      <c r="S702">
        <v>0</v>
      </c>
      <c r="T702">
        <v>1</v>
      </c>
      <c r="U702">
        <v>0</v>
      </c>
      <c r="V702">
        <v>1</v>
      </c>
    </row>
    <row r="703" spans="1:24" x14ac:dyDescent="0.25">
      <c r="A703" t="str">
        <f>"699"</f>
        <v>699</v>
      </c>
      <c r="B703" t="str">
        <f t="shared" si="36"/>
        <v>102</v>
      </c>
      <c r="C703" t="str">
        <f t="shared" si="38"/>
        <v>28</v>
      </c>
      <c r="D703" t="str">
        <f>"20"</f>
        <v>20</v>
      </c>
      <c r="E703" t="str">
        <f>"102-28-20"</f>
        <v>102-28-20</v>
      </c>
      <c r="F703" t="s">
        <v>27</v>
      </c>
      <c r="G703" t="s">
        <v>28</v>
      </c>
      <c r="H703">
        <v>1</v>
      </c>
      <c r="Q703">
        <v>0</v>
      </c>
      <c r="R703">
        <v>1</v>
      </c>
      <c r="S703">
        <v>0</v>
      </c>
      <c r="T703">
        <v>1</v>
      </c>
      <c r="U703">
        <v>0</v>
      </c>
      <c r="V703">
        <v>1</v>
      </c>
    </row>
    <row r="704" spans="1:24" x14ac:dyDescent="0.25">
      <c r="A704" t="str">
        <f>"700"</f>
        <v>700</v>
      </c>
      <c r="B704" t="str">
        <f t="shared" si="36"/>
        <v>102</v>
      </c>
      <c r="C704" t="str">
        <f t="shared" si="38"/>
        <v>28</v>
      </c>
      <c r="D704" t="str">
        <f>"3"</f>
        <v>3</v>
      </c>
      <c r="E704" t="str">
        <f>"102-28-3"</f>
        <v>102-28-3</v>
      </c>
      <c r="F704" t="s">
        <v>27</v>
      </c>
      <c r="G704" t="s">
        <v>30</v>
      </c>
      <c r="H704">
        <v>2</v>
      </c>
      <c r="I704">
        <v>0</v>
      </c>
      <c r="J704">
        <v>0</v>
      </c>
      <c r="K704">
        <v>0</v>
      </c>
      <c r="L704">
        <v>1</v>
      </c>
      <c r="Q704">
        <v>0</v>
      </c>
      <c r="R704">
        <v>1</v>
      </c>
      <c r="S704">
        <v>0</v>
      </c>
      <c r="T704">
        <v>1</v>
      </c>
      <c r="U704">
        <v>0</v>
      </c>
      <c r="V704">
        <v>1</v>
      </c>
      <c r="W704">
        <v>0</v>
      </c>
      <c r="X704">
        <v>1</v>
      </c>
    </row>
    <row r="705" spans="1:22" x14ac:dyDescent="0.25">
      <c r="A705" t="str">
        <f>"701"</f>
        <v>701</v>
      </c>
      <c r="B705" t="str">
        <f t="shared" si="36"/>
        <v>102</v>
      </c>
      <c r="C705" t="str">
        <f t="shared" ref="C705:C729" si="39">"29"</f>
        <v>29</v>
      </c>
      <c r="D705" t="str">
        <f>"21"</f>
        <v>21</v>
      </c>
      <c r="E705" t="str">
        <f>"102-29-21"</f>
        <v>102-29-21</v>
      </c>
      <c r="F705" t="s">
        <v>27</v>
      </c>
      <c r="G705" t="s">
        <v>28</v>
      </c>
      <c r="H705">
        <v>1</v>
      </c>
      <c r="Q705">
        <v>0</v>
      </c>
      <c r="R705">
        <v>1</v>
      </c>
      <c r="S705">
        <v>0</v>
      </c>
      <c r="T705">
        <v>1</v>
      </c>
      <c r="U705">
        <v>1</v>
      </c>
      <c r="V705">
        <v>0</v>
      </c>
    </row>
    <row r="706" spans="1:22" x14ac:dyDescent="0.25">
      <c r="A706" t="str">
        <f>"702"</f>
        <v>702</v>
      </c>
      <c r="B706" t="str">
        <f t="shared" si="36"/>
        <v>102</v>
      </c>
      <c r="C706" t="str">
        <f t="shared" si="39"/>
        <v>29</v>
      </c>
      <c r="D706" t="str">
        <f>"11"</f>
        <v>11</v>
      </c>
      <c r="E706" t="str">
        <f>"102-29-11"</f>
        <v>102-29-11</v>
      </c>
      <c r="F706" t="s">
        <v>27</v>
      </c>
      <c r="G706" t="s">
        <v>28</v>
      </c>
      <c r="H706">
        <v>1</v>
      </c>
      <c r="Q706">
        <v>0</v>
      </c>
      <c r="R706">
        <v>1</v>
      </c>
      <c r="S706">
        <v>0</v>
      </c>
      <c r="T706">
        <v>1</v>
      </c>
      <c r="U706">
        <v>0</v>
      </c>
      <c r="V706">
        <v>1</v>
      </c>
    </row>
    <row r="707" spans="1:22" x14ac:dyDescent="0.25">
      <c r="A707" t="str">
        <f>"703"</f>
        <v>703</v>
      </c>
      <c r="B707" t="str">
        <f t="shared" si="36"/>
        <v>102</v>
      </c>
      <c r="C707" t="str">
        <f t="shared" si="39"/>
        <v>29</v>
      </c>
      <c r="D707" t="str">
        <f>"1"</f>
        <v>1</v>
      </c>
      <c r="E707" t="str">
        <f>"102-29-1"</f>
        <v>102-29-1</v>
      </c>
      <c r="F707" t="s">
        <v>27</v>
      </c>
      <c r="G707" t="s">
        <v>28</v>
      </c>
      <c r="H707">
        <v>1</v>
      </c>
      <c r="Q707">
        <v>0</v>
      </c>
      <c r="R707">
        <v>1</v>
      </c>
      <c r="S707">
        <v>0</v>
      </c>
      <c r="T707">
        <v>1</v>
      </c>
      <c r="U707">
        <v>0</v>
      </c>
      <c r="V707">
        <v>1</v>
      </c>
    </row>
    <row r="708" spans="1:22" x14ac:dyDescent="0.25">
      <c r="A708" t="str">
        <f>"704"</f>
        <v>704</v>
      </c>
      <c r="B708" t="str">
        <f t="shared" si="36"/>
        <v>102</v>
      </c>
      <c r="C708" t="str">
        <f t="shared" si="39"/>
        <v>29</v>
      </c>
      <c r="D708" t="str">
        <f>"22"</f>
        <v>22</v>
      </c>
      <c r="E708" t="str">
        <f>"102-29-22"</f>
        <v>102-29-22</v>
      </c>
      <c r="F708" t="s">
        <v>27</v>
      </c>
      <c r="G708" t="s">
        <v>28</v>
      </c>
      <c r="H708">
        <v>1</v>
      </c>
      <c r="Q708">
        <v>1</v>
      </c>
      <c r="R708">
        <v>0</v>
      </c>
      <c r="S708">
        <v>1</v>
      </c>
      <c r="T708">
        <v>0</v>
      </c>
      <c r="U708">
        <v>1</v>
      </c>
      <c r="V708">
        <v>0</v>
      </c>
    </row>
    <row r="709" spans="1:22" x14ac:dyDescent="0.25">
      <c r="A709" t="str">
        <f>"705"</f>
        <v>705</v>
      </c>
      <c r="B709" t="str">
        <f t="shared" ref="B709:B772" si="40">"102"</f>
        <v>102</v>
      </c>
      <c r="C709" t="str">
        <f t="shared" si="39"/>
        <v>29</v>
      </c>
      <c r="D709" t="str">
        <f>"12"</f>
        <v>12</v>
      </c>
      <c r="E709" t="str">
        <f>"102-29-12"</f>
        <v>102-29-12</v>
      </c>
      <c r="F709" t="s">
        <v>27</v>
      </c>
      <c r="G709" t="s">
        <v>28</v>
      </c>
      <c r="H709">
        <v>1</v>
      </c>
      <c r="Q709">
        <v>0</v>
      </c>
      <c r="R709">
        <v>1</v>
      </c>
      <c r="S709">
        <v>0</v>
      </c>
      <c r="T709">
        <v>1</v>
      </c>
      <c r="U709">
        <v>0</v>
      </c>
      <c r="V709">
        <v>1</v>
      </c>
    </row>
    <row r="710" spans="1:22" x14ac:dyDescent="0.25">
      <c r="A710" t="str">
        <f>"706"</f>
        <v>706</v>
      </c>
      <c r="B710" t="str">
        <f t="shared" si="40"/>
        <v>102</v>
      </c>
      <c r="C710" t="str">
        <f t="shared" si="39"/>
        <v>29</v>
      </c>
      <c r="D710" t="str">
        <f>"2"</f>
        <v>2</v>
      </c>
      <c r="E710" t="str">
        <f>"102-29-2"</f>
        <v>102-29-2</v>
      </c>
      <c r="F710" t="s">
        <v>27</v>
      </c>
      <c r="G710" t="s">
        <v>28</v>
      </c>
      <c r="H710">
        <v>1</v>
      </c>
      <c r="Q710">
        <v>1</v>
      </c>
      <c r="R710">
        <v>0</v>
      </c>
      <c r="S710">
        <v>0</v>
      </c>
      <c r="T710">
        <v>1</v>
      </c>
      <c r="U710">
        <v>0</v>
      </c>
      <c r="V710">
        <v>1</v>
      </c>
    </row>
    <row r="711" spans="1:22" x14ac:dyDescent="0.25">
      <c r="A711" t="str">
        <f>"707"</f>
        <v>707</v>
      </c>
      <c r="B711" t="str">
        <f t="shared" si="40"/>
        <v>102</v>
      </c>
      <c r="C711" t="str">
        <f t="shared" si="39"/>
        <v>29</v>
      </c>
      <c r="D711" t="str">
        <f>"24"</f>
        <v>24</v>
      </c>
      <c r="E711" t="str">
        <f>"102-29-24"</f>
        <v>102-29-24</v>
      </c>
      <c r="F711" t="s">
        <v>27</v>
      </c>
      <c r="G711" t="s">
        <v>28</v>
      </c>
      <c r="H711">
        <v>1</v>
      </c>
      <c r="Q711">
        <v>0</v>
      </c>
      <c r="R711">
        <v>1</v>
      </c>
      <c r="S711">
        <v>0</v>
      </c>
      <c r="T711">
        <v>1</v>
      </c>
      <c r="U711">
        <v>0</v>
      </c>
      <c r="V711">
        <v>1</v>
      </c>
    </row>
    <row r="712" spans="1:22" x14ac:dyDescent="0.25">
      <c r="A712" t="str">
        <f>"708"</f>
        <v>708</v>
      </c>
      <c r="B712" t="str">
        <f t="shared" si="40"/>
        <v>102</v>
      </c>
      <c r="C712" t="str">
        <f t="shared" si="39"/>
        <v>29</v>
      </c>
      <c r="D712" t="str">
        <f>"13"</f>
        <v>13</v>
      </c>
      <c r="E712" t="str">
        <f>"102-29-13"</f>
        <v>102-29-13</v>
      </c>
      <c r="F712" t="s">
        <v>27</v>
      </c>
      <c r="G712" t="s">
        <v>28</v>
      </c>
      <c r="H712">
        <v>1</v>
      </c>
      <c r="Q712">
        <v>0</v>
      </c>
      <c r="R712">
        <v>1</v>
      </c>
      <c r="S712">
        <v>0</v>
      </c>
      <c r="T712">
        <v>1</v>
      </c>
      <c r="U712">
        <v>0</v>
      </c>
      <c r="V712">
        <v>1</v>
      </c>
    </row>
    <row r="713" spans="1:22" x14ac:dyDescent="0.25">
      <c r="A713" t="str">
        <f>"709"</f>
        <v>709</v>
      </c>
      <c r="B713" t="str">
        <f t="shared" si="40"/>
        <v>102</v>
      </c>
      <c r="C713" t="str">
        <f t="shared" si="39"/>
        <v>29</v>
      </c>
      <c r="D713" t="str">
        <f>"5"</f>
        <v>5</v>
      </c>
      <c r="E713" t="str">
        <f>"102-29-5"</f>
        <v>102-29-5</v>
      </c>
      <c r="F713" t="s">
        <v>27</v>
      </c>
      <c r="G713" t="s">
        <v>28</v>
      </c>
      <c r="H713">
        <v>1</v>
      </c>
      <c r="Q713">
        <v>0</v>
      </c>
      <c r="R713">
        <v>1</v>
      </c>
      <c r="S713">
        <v>0</v>
      </c>
      <c r="T713">
        <v>1</v>
      </c>
      <c r="U713">
        <v>0</v>
      </c>
      <c r="V713">
        <v>1</v>
      </c>
    </row>
    <row r="714" spans="1:22" x14ac:dyDescent="0.25">
      <c r="A714" t="str">
        <f>"710"</f>
        <v>710</v>
      </c>
      <c r="B714" t="str">
        <f t="shared" si="40"/>
        <v>102</v>
      </c>
      <c r="C714" t="str">
        <f t="shared" si="39"/>
        <v>29</v>
      </c>
      <c r="D714" t="str">
        <f>"23"</f>
        <v>23</v>
      </c>
      <c r="E714" t="str">
        <f>"102-29-23"</f>
        <v>102-29-23</v>
      </c>
      <c r="F714" t="s">
        <v>27</v>
      </c>
      <c r="G714" t="s">
        <v>28</v>
      </c>
      <c r="H714">
        <v>1</v>
      </c>
      <c r="Q714">
        <v>1</v>
      </c>
      <c r="R714">
        <v>0</v>
      </c>
      <c r="S714">
        <v>0</v>
      </c>
      <c r="T714">
        <v>1</v>
      </c>
      <c r="U714">
        <v>0</v>
      </c>
      <c r="V714">
        <v>1</v>
      </c>
    </row>
    <row r="715" spans="1:22" x14ac:dyDescent="0.25">
      <c r="A715" t="str">
        <f>"711"</f>
        <v>711</v>
      </c>
      <c r="B715" t="str">
        <f t="shared" si="40"/>
        <v>102</v>
      </c>
      <c r="C715" t="str">
        <f t="shared" si="39"/>
        <v>29</v>
      </c>
      <c r="D715" t="str">
        <f>"14"</f>
        <v>14</v>
      </c>
      <c r="E715" t="str">
        <f>"102-29-14"</f>
        <v>102-29-14</v>
      </c>
      <c r="F715" t="s">
        <v>27</v>
      </c>
      <c r="G715" t="s">
        <v>28</v>
      </c>
      <c r="H715">
        <v>1</v>
      </c>
      <c r="Q715">
        <v>0</v>
      </c>
      <c r="R715">
        <v>1</v>
      </c>
      <c r="S715">
        <v>0</v>
      </c>
      <c r="T715">
        <v>1</v>
      </c>
      <c r="U715">
        <v>0</v>
      </c>
      <c r="V715">
        <v>1</v>
      </c>
    </row>
    <row r="716" spans="1:22" x14ac:dyDescent="0.25">
      <c r="A716" t="str">
        <f>"712"</f>
        <v>712</v>
      </c>
      <c r="B716" t="str">
        <f t="shared" si="40"/>
        <v>102</v>
      </c>
      <c r="C716" t="str">
        <f t="shared" si="39"/>
        <v>29</v>
      </c>
      <c r="D716" t="str">
        <f>"7"</f>
        <v>7</v>
      </c>
      <c r="E716" t="str">
        <f>"102-29-7"</f>
        <v>102-29-7</v>
      </c>
      <c r="F716" t="s">
        <v>27</v>
      </c>
      <c r="G716" t="s">
        <v>28</v>
      </c>
      <c r="H716">
        <v>1</v>
      </c>
      <c r="Q716">
        <v>0</v>
      </c>
      <c r="R716">
        <v>1</v>
      </c>
      <c r="S716">
        <v>0</v>
      </c>
      <c r="T716">
        <v>1</v>
      </c>
      <c r="U716">
        <v>0</v>
      </c>
      <c r="V716">
        <v>1</v>
      </c>
    </row>
    <row r="717" spans="1:22" x14ac:dyDescent="0.25">
      <c r="A717" t="str">
        <f>"713"</f>
        <v>713</v>
      </c>
      <c r="B717" t="str">
        <f t="shared" si="40"/>
        <v>102</v>
      </c>
      <c r="C717" t="str">
        <f t="shared" si="39"/>
        <v>29</v>
      </c>
      <c r="D717" t="str">
        <f>"25"</f>
        <v>25</v>
      </c>
      <c r="E717" t="str">
        <f>"102-29-25"</f>
        <v>102-29-25</v>
      </c>
      <c r="F717" t="s">
        <v>27</v>
      </c>
      <c r="G717" t="s">
        <v>28</v>
      </c>
      <c r="H717">
        <v>1</v>
      </c>
      <c r="Q717">
        <v>1</v>
      </c>
      <c r="R717">
        <v>0</v>
      </c>
      <c r="S717">
        <v>1</v>
      </c>
      <c r="T717">
        <v>0</v>
      </c>
      <c r="U717">
        <v>1</v>
      </c>
      <c r="V717">
        <v>0</v>
      </c>
    </row>
    <row r="718" spans="1:22" x14ac:dyDescent="0.25">
      <c r="A718" t="str">
        <f>"714"</f>
        <v>714</v>
      </c>
      <c r="B718" t="str">
        <f t="shared" si="40"/>
        <v>102</v>
      </c>
      <c r="C718" t="str">
        <f t="shared" si="39"/>
        <v>29</v>
      </c>
      <c r="D718" t="str">
        <f>"15"</f>
        <v>15</v>
      </c>
      <c r="E718" t="str">
        <f>"102-29-15"</f>
        <v>102-29-15</v>
      </c>
      <c r="F718" t="s">
        <v>27</v>
      </c>
      <c r="G718" t="s">
        <v>28</v>
      </c>
      <c r="H718">
        <v>1</v>
      </c>
      <c r="Q718">
        <v>1</v>
      </c>
      <c r="R718">
        <v>0</v>
      </c>
      <c r="S718">
        <v>1</v>
      </c>
      <c r="T718">
        <v>0</v>
      </c>
      <c r="U718">
        <v>1</v>
      </c>
      <c r="V718">
        <v>0</v>
      </c>
    </row>
    <row r="719" spans="1:22" x14ac:dyDescent="0.25">
      <c r="A719" t="str">
        <f>"715"</f>
        <v>715</v>
      </c>
      <c r="B719" t="str">
        <f t="shared" si="40"/>
        <v>102</v>
      </c>
      <c r="C719" t="str">
        <f t="shared" si="39"/>
        <v>29</v>
      </c>
      <c r="D719" t="str">
        <f>"4"</f>
        <v>4</v>
      </c>
      <c r="E719" t="str">
        <f>"102-29-4"</f>
        <v>102-29-4</v>
      </c>
      <c r="F719" t="s">
        <v>27</v>
      </c>
      <c r="G719" t="s">
        <v>28</v>
      </c>
      <c r="H719">
        <v>1</v>
      </c>
      <c r="Q719">
        <v>1</v>
      </c>
      <c r="R719">
        <v>0</v>
      </c>
      <c r="S719">
        <v>1</v>
      </c>
      <c r="T719">
        <v>0</v>
      </c>
      <c r="U719">
        <v>0</v>
      </c>
      <c r="V719">
        <v>1</v>
      </c>
    </row>
    <row r="720" spans="1:22" x14ac:dyDescent="0.25">
      <c r="A720" t="str">
        <f>"716"</f>
        <v>716</v>
      </c>
      <c r="B720" t="str">
        <f t="shared" si="40"/>
        <v>102</v>
      </c>
      <c r="C720" t="str">
        <f t="shared" si="39"/>
        <v>29</v>
      </c>
      <c r="D720" t="str">
        <f>"16"</f>
        <v>16</v>
      </c>
      <c r="E720" t="str">
        <f>"102-29-16"</f>
        <v>102-29-16</v>
      </c>
      <c r="F720" t="s">
        <v>27</v>
      </c>
      <c r="G720" t="s">
        <v>28</v>
      </c>
      <c r="H720">
        <v>1</v>
      </c>
      <c r="Q720">
        <v>0</v>
      </c>
      <c r="R720">
        <v>1</v>
      </c>
      <c r="S720">
        <v>0</v>
      </c>
      <c r="T720">
        <v>1</v>
      </c>
      <c r="U720">
        <v>1</v>
      </c>
      <c r="V720">
        <v>0</v>
      </c>
    </row>
    <row r="721" spans="1:22" x14ac:dyDescent="0.25">
      <c r="A721" t="str">
        <f>"717"</f>
        <v>717</v>
      </c>
      <c r="B721" t="str">
        <f t="shared" si="40"/>
        <v>102</v>
      </c>
      <c r="C721" t="str">
        <f t="shared" si="39"/>
        <v>29</v>
      </c>
      <c r="D721" t="str">
        <f>"9"</f>
        <v>9</v>
      </c>
      <c r="E721" t="str">
        <f>"102-29-9"</f>
        <v>102-29-9</v>
      </c>
      <c r="F721" t="s">
        <v>27</v>
      </c>
      <c r="G721" t="s">
        <v>28</v>
      </c>
      <c r="H721">
        <v>1</v>
      </c>
      <c r="Q721">
        <v>1</v>
      </c>
      <c r="R721">
        <v>0</v>
      </c>
      <c r="S721">
        <v>0</v>
      </c>
      <c r="T721">
        <v>1</v>
      </c>
      <c r="U721">
        <v>0</v>
      </c>
      <c r="V721">
        <v>1</v>
      </c>
    </row>
    <row r="722" spans="1:22" x14ac:dyDescent="0.25">
      <c r="A722" t="str">
        <f>"718"</f>
        <v>718</v>
      </c>
      <c r="B722" t="str">
        <f t="shared" si="40"/>
        <v>102</v>
      </c>
      <c r="C722" t="str">
        <f t="shared" si="39"/>
        <v>29</v>
      </c>
      <c r="D722" t="str">
        <f>"17"</f>
        <v>17</v>
      </c>
      <c r="E722" t="str">
        <f>"102-29-17"</f>
        <v>102-29-17</v>
      </c>
      <c r="F722" t="s">
        <v>27</v>
      </c>
      <c r="G722" t="s">
        <v>28</v>
      </c>
      <c r="H722">
        <v>1</v>
      </c>
      <c r="Q722">
        <v>1</v>
      </c>
      <c r="R722">
        <v>0</v>
      </c>
      <c r="S722">
        <v>1</v>
      </c>
      <c r="T722">
        <v>0</v>
      </c>
      <c r="U722">
        <v>1</v>
      </c>
      <c r="V722">
        <v>0</v>
      </c>
    </row>
    <row r="723" spans="1:22" x14ac:dyDescent="0.25">
      <c r="A723" t="str">
        <f>"719"</f>
        <v>719</v>
      </c>
      <c r="B723" t="str">
        <f t="shared" si="40"/>
        <v>102</v>
      </c>
      <c r="C723" t="str">
        <f t="shared" si="39"/>
        <v>29</v>
      </c>
      <c r="D723" t="str">
        <f>"6"</f>
        <v>6</v>
      </c>
      <c r="E723" t="str">
        <f>"102-29-6"</f>
        <v>102-29-6</v>
      </c>
      <c r="F723" t="s">
        <v>27</v>
      </c>
      <c r="G723" t="s">
        <v>28</v>
      </c>
      <c r="H723">
        <v>1</v>
      </c>
      <c r="Q723">
        <v>0</v>
      </c>
      <c r="R723">
        <v>1</v>
      </c>
      <c r="S723">
        <v>0</v>
      </c>
      <c r="T723">
        <v>1</v>
      </c>
      <c r="U723">
        <v>1</v>
      </c>
      <c r="V723">
        <v>0</v>
      </c>
    </row>
    <row r="724" spans="1:22" x14ac:dyDescent="0.25">
      <c r="A724" t="str">
        <f>"720"</f>
        <v>720</v>
      </c>
      <c r="B724" t="str">
        <f t="shared" si="40"/>
        <v>102</v>
      </c>
      <c r="C724" t="str">
        <f t="shared" si="39"/>
        <v>29</v>
      </c>
      <c r="D724" t="str">
        <f>"18"</f>
        <v>18</v>
      </c>
      <c r="E724" t="str">
        <f>"102-29-18"</f>
        <v>102-29-18</v>
      </c>
      <c r="F724" t="s">
        <v>27</v>
      </c>
      <c r="G724" t="s">
        <v>28</v>
      </c>
      <c r="H724">
        <v>1</v>
      </c>
      <c r="Q724">
        <v>1</v>
      </c>
      <c r="R724">
        <v>0</v>
      </c>
      <c r="S724">
        <v>1</v>
      </c>
      <c r="T724">
        <v>0</v>
      </c>
      <c r="U724">
        <v>1</v>
      </c>
      <c r="V724">
        <v>0</v>
      </c>
    </row>
    <row r="725" spans="1:22" x14ac:dyDescent="0.25">
      <c r="A725" t="str">
        <f>"721"</f>
        <v>721</v>
      </c>
      <c r="B725" t="str">
        <f t="shared" si="40"/>
        <v>102</v>
      </c>
      <c r="C725" t="str">
        <f t="shared" si="39"/>
        <v>29</v>
      </c>
      <c r="D725" t="str">
        <f>"3"</f>
        <v>3</v>
      </c>
      <c r="E725" t="str">
        <f>"102-29-3"</f>
        <v>102-29-3</v>
      </c>
      <c r="F725" t="s">
        <v>27</v>
      </c>
      <c r="G725" t="s">
        <v>28</v>
      </c>
      <c r="H725">
        <v>1</v>
      </c>
      <c r="Q725">
        <v>0</v>
      </c>
      <c r="R725">
        <v>1</v>
      </c>
      <c r="S725">
        <v>1</v>
      </c>
      <c r="T725">
        <v>0</v>
      </c>
      <c r="U725">
        <v>0</v>
      </c>
      <c r="V725">
        <v>1</v>
      </c>
    </row>
    <row r="726" spans="1:22" x14ac:dyDescent="0.25">
      <c r="A726" t="str">
        <f>"722"</f>
        <v>722</v>
      </c>
      <c r="B726" t="str">
        <f t="shared" si="40"/>
        <v>102</v>
      </c>
      <c r="C726" t="str">
        <f t="shared" si="39"/>
        <v>29</v>
      </c>
      <c r="D726" t="str">
        <f>"19"</f>
        <v>19</v>
      </c>
      <c r="E726" t="str">
        <f>"102-29-19"</f>
        <v>102-29-19</v>
      </c>
      <c r="F726" t="s">
        <v>27</v>
      </c>
      <c r="G726" t="s">
        <v>28</v>
      </c>
      <c r="H726">
        <v>1</v>
      </c>
      <c r="Q726">
        <v>0</v>
      </c>
      <c r="R726">
        <v>1</v>
      </c>
      <c r="S726">
        <v>0</v>
      </c>
      <c r="T726">
        <v>1</v>
      </c>
      <c r="U726">
        <v>0</v>
      </c>
      <c r="V726">
        <v>1</v>
      </c>
    </row>
    <row r="727" spans="1:22" x14ac:dyDescent="0.25">
      <c r="A727" t="str">
        <f>"723"</f>
        <v>723</v>
      </c>
      <c r="B727" t="str">
        <f t="shared" si="40"/>
        <v>102</v>
      </c>
      <c r="C727" t="str">
        <f t="shared" si="39"/>
        <v>29</v>
      </c>
      <c r="D727" t="str">
        <f>"10"</f>
        <v>10</v>
      </c>
      <c r="E727" t="str">
        <f>"102-29-10"</f>
        <v>102-29-10</v>
      </c>
      <c r="F727" t="s">
        <v>27</v>
      </c>
      <c r="G727" t="s">
        <v>28</v>
      </c>
      <c r="H727">
        <v>1</v>
      </c>
      <c r="Q727">
        <v>1</v>
      </c>
      <c r="R727">
        <v>0</v>
      </c>
      <c r="S727">
        <v>1</v>
      </c>
      <c r="T727">
        <v>0</v>
      </c>
      <c r="U727">
        <v>1</v>
      </c>
      <c r="V727">
        <v>0</v>
      </c>
    </row>
    <row r="728" spans="1:22" x14ac:dyDescent="0.25">
      <c r="A728" t="str">
        <f>"724"</f>
        <v>724</v>
      </c>
      <c r="B728" t="str">
        <f t="shared" si="40"/>
        <v>102</v>
      </c>
      <c r="C728" t="str">
        <f t="shared" si="39"/>
        <v>29</v>
      </c>
      <c r="D728" t="str">
        <f>"20"</f>
        <v>20</v>
      </c>
      <c r="E728" t="str">
        <f>"102-29-20"</f>
        <v>102-29-20</v>
      </c>
      <c r="F728" t="s">
        <v>27</v>
      </c>
      <c r="G728" t="s">
        <v>28</v>
      </c>
      <c r="H728">
        <v>1</v>
      </c>
      <c r="Q728">
        <v>0</v>
      </c>
      <c r="R728">
        <v>1</v>
      </c>
      <c r="S728">
        <v>0</v>
      </c>
      <c r="T728">
        <v>1</v>
      </c>
      <c r="U728">
        <v>1</v>
      </c>
      <c r="V728">
        <v>0</v>
      </c>
    </row>
    <row r="729" spans="1:22" x14ac:dyDescent="0.25">
      <c r="A729" t="str">
        <f>"725"</f>
        <v>725</v>
      </c>
      <c r="B729" t="str">
        <f t="shared" si="40"/>
        <v>102</v>
      </c>
      <c r="C729" t="str">
        <f t="shared" si="39"/>
        <v>29</v>
      </c>
      <c r="D729" t="str">
        <f>"8"</f>
        <v>8</v>
      </c>
      <c r="E729" t="str">
        <f>"102-29-8"</f>
        <v>102-29-8</v>
      </c>
      <c r="F729" t="s">
        <v>27</v>
      </c>
      <c r="G729" t="s">
        <v>28</v>
      </c>
      <c r="H729">
        <v>1</v>
      </c>
      <c r="Q729">
        <v>1</v>
      </c>
      <c r="R729">
        <v>0</v>
      </c>
      <c r="S729">
        <v>1</v>
      </c>
      <c r="T729">
        <v>0</v>
      </c>
      <c r="U729">
        <v>1</v>
      </c>
      <c r="V729">
        <v>0</v>
      </c>
    </row>
    <row r="730" spans="1:22" x14ac:dyDescent="0.25">
      <c r="A730" t="str">
        <f>"726"</f>
        <v>726</v>
      </c>
      <c r="B730" t="str">
        <f t="shared" si="40"/>
        <v>102</v>
      </c>
      <c r="C730" t="str">
        <f t="shared" ref="C730:C754" si="41">"30"</f>
        <v>30</v>
      </c>
      <c r="D730" t="str">
        <f>"21"</f>
        <v>21</v>
      </c>
      <c r="E730" t="str">
        <f>"102-30-21"</f>
        <v>102-30-21</v>
      </c>
      <c r="F730" t="s">
        <v>27</v>
      </c>
      <c r="G730" t="s">
        <v>28</v>
      </c>
      <c r="H730">
        <v>1</v>
      </c>
      <c r="Q730">
        <v>0</v>
      </c>
      <c r="R730">
        <v>1</v>
      </c>
      <c r="S730">
        <v>0</v>
      </c>
      <c r="T730">
        <v>1</v>
      </c>
      <c r="U730">
        <v>1</v>
      </c>
      <c r="V730">
        <v>0</v>
      </c>
    </row>
    <row r="731" spans="1:22" x14ac:dyDescent="0.25">
      <c r="A731" t="str">
        <f>"727"</f>
        <v>727</v>
      </c>
      <c r="B731" t="str">
        <f t="shared" si="40"/>
        <v>102</v>
      </c>
      <c r="C731" t="str">
        <f t="shared" si="41"/>
        <v>30</v>
      </c>
      <c r="D731" t="str">
        <f>"11"</f>
        <v>11</v>
      </c>
      <c r="E731" t="str">
        <f>"102-30-11"</f>
        <v>102-30-11</v>
      </c>
      <c r="F731" t="s">
        <v>27</v>
      </c>
      <c r="G731" t="s">
        <v>28</v>
      </c>
      <c r="H731">
        <v>1</v>
      </c>
      <c r="Q731">
        <v>1</v>
      </c>
      <c r="R731">
        <v>0</v>
      </c>
      <c r="S731">
        <v>1</v>
      </c>
      <c r="T731">
        <v>0</v>
      </c>
      <c r="U731">
        <v>0</v>
      </c>
      <c r="V731">
        <v>1</v>
      </c>
    </row>
    <row r="732" spans="1:22" x14ac:dyDescent="0.25">
      <c r="A732" t="str">
        <f>"728"</f>
        <v>728</v>
      </c>
      <c r="B732" t="str">
        <f t="shared" si="40"/>
        <v>102</v>
      </c>
      <c r="C732" t="str">
        <f t="shared" si="41"/>
        <v>30</v>
      </c>
      <c r="D732" t="str">
        <f>"3"</f>
        <v>3</v>
      </c>
      <c r="E732" t="str">
        <f>"102-30-3"</f>
        <v>102-30-3</v>
      </c>
      <c r="F732" t="s">
        <v>27</v>
      </c>
      <c r="G732" t="s">
        <v>28</v>
      </c>
      <c r="H732">
        <v>1</v>
      </c>
      <c r="Q732">
        <v>1</v>
      </c>
      <c r="R732">
        <v>0</v>
      </c>
      <c r="S732">
        <v>1</v>
      </c>
      <c r="T732">
        <v>0</v>
      </c>
      <c r="U732">
        <v>1</v>
      </c>
      <c r="V732">
        <v>0</v>
      </c>
    </row>
    <row r="733" spans="1:22" x14ac:dyDescent="0.25">
      <c r="A733" t="str">
        <f>"729"</f>
        <v>729</v>
      </c>
      <c r="B733" t="str">
        <f t="shared" si="40"/>
        <v>102</v>
      </c>
      <c r="C733" t="str">
        <f t="shared" si="41"/>
        <v>30</v>
      </c>
      <c r="D733" t="str">
        <f>"23"</f>
        <v>23</v>
      </c>
      <c r="E733" t="str">
        <f>"102-30-23"</f>
        <v>102-30-23</v>
      </c>
      <c r="F733" t="s">
        <v>27</v>
      </c>
      <c r="G733" t="s">
        <v>28</v>
      </c>
      <c r="H733">
        <v>1</v>
      </c>
      <c r="Q733">
        <v>1</v>
      </c>
      <c r="R733">
        <v>0</v>
      </c>
      <c r="S733">
        <v>1</v>
      </c>
      <c r="T733">
        <v>0</v>
      </c>
      <c r="U733">
        <v>0</v>
      </c>
      <c r="V733">
        <v>1</v>
      </c>
    </row>
    <row r="734" spans="1:22" x14ac:dyDescent="0.25">
      <c r="A734" t="str">
        <f>"730"</f>
        <v>730</v>
      </c>
      <c r="B734" t="str">
        <f t="shared" si="40"/>
        <v>102</v>
      </c>
      <c r="C734" t="str">
        <f t="shared" si="41"/>
        <v>30</v>
      </c>
      <c r="D734" t="str">
        <f>"12"</f>
        <v>12</v>
      </c>
      <c r="E734" t="str">
        <f>"102-30-12"</f>
        <v>102-30-12</v>
      </c>
      <c r="F734" t="s">
        <v>27</v>
      </c>
      <c r="G734" t="s">
        <v>28</v>
      </c>
      <c r="H734">
        <v>1</v>
      </c>
      <c r="Q734">
        <v>1</v>
      </c>
      <c r="R734">
        <v>0</v>
      </c>
      <c r="S734">
        <v>1</v>
      </c>
      <c r="T734">
        <v>0</v>
      </c>
      <c r="U734">
        <v>1</v>
      </c>
      <c r="V734">
        <v>0</v>
      </c>
    </row>
    <row r="735" spans="1:22" x14ac:dyDescent="0.25">
      <c r="A735" t="str">
        <f>"731"</f>
        <v>731</v>
      </c>
      <c r="B735" t="str">
        <f t="shared" si="40"/>
        <v>102</v>
      </c>
      <c r="C735" t="str">
        <f t="shared" si="41"/>
        <v>30</v>
      </c>
      <c r="D735" t="str">
        <f>"1"</f>
        <v>1</v>
      </c>
      <c r="E735" t="str">
        <f>"102-30-1"</f>
        <v>102-30-1</v>
      </c>
      <c r="F735" t="s">
        <v>27</v>
      </c>
      <c r="G735" t="s">
        <v>28</v>
      </c>
      <c r="H735">
        <v>1</v>
      </c>
      <c r="Q735">
        <v>0</v>
      </c>
      <c r="R735">
        <v>1</v>
      </c>
      <c r="S735">
        <v>0</v>
      </c>
      <c r="T735">
        <v>1</v>
      </c>
      <c r="U735">
        <v>0</v>
      </c>
      <c r="V735">
        <v>1</v>
      </c>
    </row>
    <row r="736" spans="1:22" x14ac:dyDescent="0.25">
      <c r="A736" t="str">
        <f>"732"</f>
        <v>732</v>
      </c>
      <c r="B736" t="str">
        <f t="shared" si="40"/>
        <v>102</v>
      </c>
      <c r="C736" t="str">
        <f t="shared" si="41"/>
        <v>30</v>
      </c>
      <c r="D736" t="str">
        <f>"24"</f>
        <v>24</v>
      </c>
      <c r="E736" t="str">
        <f>"102-30-24"</f>
        <v>102-30-24</v>
      </c>
      <c r="F736" t="s">
        <v>27</v>
      </c>
      <c r="G736" t="s">
        <v>28</v>
      </c>
      <c r="H736">
        <v>1</v>
      </c>
      <c r="Q736">
        <v>1</v>
      </c>
      <c r="R736">
        <v>0</v>
      </c>
      <c r="S736">
        <v>1</v>
      </c>
      <c r="T736">
        <v>0</v>
      </c>
      <c r="U736">
        <v>1</v>
      </c>
      <c r="V736">
        <v>0</v>
      </c>
    </row>
    <row r="737" spans="1:22" x14ac:dyDescent="0.25">
      <c r="A737" t="str">
        <f>"733"</f>
        <v>733</v>
      </c>
      <c r="B737" t="str">
        <f t="shared" si="40"/>
        <v>102</v>
      </c>
      <c r="C737" t="str">
        <f t="shared" si="41"/>
        <v>30</v>
      </c>
      <c r="D737" t="str">
        <f>"13"</f>
        <v>13</v>
      </c>
      <c r="E737" t="str">
        <f>"102-30-13"</f>
        <v>102-30-13</v>
      </c>
      <c r="F737" t="s">
        <v>27</v>
      </c>
      <c r="G737" t="s">
        <v>28</v>
      </c>
      <c r="H737">
        <v>1</v>
      </c>
      <c r="Q737">
        <v>1</v>
      </c>
      <c r="R737">
        <v>0</v>
      </c>
      <c r="S737">
        <v>1</v>
      </c>
      <c r="T737">
        <v>0</v>
      </c>
      <c r="U737">
        <v>0</v>
      </c>
      <c r="V737">
        <v>1</v>
      </c>
    </row>
    <row r="738" spans="1:22" x14ac:dyDescent="0.25">
      <c r="A738" t="str">
        <f>"734"</f>
        <v>734</v>
      </c>
      <c r="B738" t="str">
        <f t="shared" si="40"/>
        <v>102</v>
      </c>
      <c r="C738" t="str">
        <f t="shared" si="41"/>
        <v>30</v>
      </c>
      <c r="D738" t="str">
        <f>"4"</f>
        <v>4</v>
      </c>
      <c r="E738" t="str">
        <f>"102-30-4"</f>
        <v>102-30-4</v>
      </c>
      <c r="F738" t="s">
        <v>27</v>
      </c>
      <c r="G738" t="s">
        <v>28</v>
      </c>
      <c r="H738">
        <v>1</v>
      </c>
      <c r="Q738">
        <v>0</v>
      </c>
      <c r="R738">
        <v>1</v>
      </c>
      <c r="S738">
        <v>0</v>
      </c>
      <c r="T738">
        <v>1</v>
      </c>
      <c r="U738">
        <v>0</v>
      </c>
      <c r="V738">
        <v>1</v>
      </c>
    </row>
    <row r="739" spans="1:22" x14ac:dyDescent="0.25">
      <c r="A739" t="str">
        <f>"735"</f>
        <v>735</v>
      </c>
      <c r="B739" t="str">
        <f t="shared" si="40"/>
        <v>102</v>
      </c>
      <c r="C739" t="str">
        <f t="shared" si="41"/>
        <v>30</v>
      </c>
      <c r="D739" t="str">
        <f>"25"</f>
        <v>25</v>
      </c>
      <c r="E739" t="str">
        <f>"102-30-25"</f>
        <v>102-30-25</v>
      </c>
      <c r="F739" t="s">
        <v>27</v>
      </c>
      <c r="G739" t="s">
        <v>28</v>
      </c>
      <c r="H739">
        <v>1</v>
      </c>
      <c r="Q739">
        <v>0</v>
      </c>
      <c r="R739">
        <v>1</v>
      </c>
      <c r="S739">
        <v>0</v>
      </c>
      <c r="T739">
        <v>1</v>
      </c>
      <c r="U739">
        <v>0</v>
      </c>
      <c r="V739">
        <v>1</v>
      </c>
    </row>
    <row r="740" spans="1:22" x14ac:dyDescent="0.25">
      <c r="A740" t="str">
        <f>"736"</f>
        <v>736</v>
      </c>
      <c r="B740" t="str">
        <f t="shared" si="40"/>
        <v>102</v>
      </c>
      <c r="C740" t="str">
        <f t="shared" si="41"/>
        <v>30</v>
      </c>
      <c r="D740" t="str">
        <f>"14"</f>
        <v>14</v>
      </c>
      <c r="E740" t="str">
        <f>"102-30-14"</f>
        <v>102-30-14</v>
      </c>
      <c r="F740" t="s">
        <v>27</v>
      </c>
      <c r="G740" t="s">
        <v>28</v>
      </c>
      <c r="H740">
        <v>1</v>
      </c>
      <c r="Q740">
        <v>0</v>
      </c>
      <c r="R740">
        <v>1</v>
      </c>
      <c r="S740">
        <v>0</v>
      </c>
      <c r="T740">
        <v>1</v>
      </c>
      <c r="U740">
        <v>1</v>
      </c>
      <c r="V740">
        <v>0</v>
      </c>
    </row>
    <row r="741" spans="1:22" x14ac:dyDescent="0.25">
      <c r="A741" t="str">
        <f>"737"</f>
        <v>737</v>
      </c>
      <c r="B741" t="str">
        <f t="shared" si="40"/>
        <v>102</v>
      </c>
      <c r="C741" t="str">
        <f t="shared" si="41"/>
        <v>30</v>
      </c>
      <c r="D741" t="str">
        <f>"5"</f>
        <v>5</v>
      </c>
      <c r="E741" t="str">
        <f>"102-30-5"</f>
        <v>102-30-5</v>
      </c>
      <c r="F741" t="s">
        <v>27</v>
      </c>
      <c r="G741" t="s">
        <v>28</v>
      </c>
      <c r="H741">
        <v>1</v>
      </c>
      <c r="Q741">
        <v>1</v>
      </c>
      <c r="R741">
        <v>0</v>
      </c>
      <c r="S741">
        <v>1</v>
      </c>
      <c r="T741">
        <v>0</v>
      </c>
      <c r="U741">
        <v>0</v>
      </c>
      <c r="V741">
        <v>1</v>
      </c>
    </row>
    <row r="742" spans="1:22" x14ac:dyDescent="0.25">
      <c r="A742" t="str">
        <f>"738"</f>
        <v>738</v>
      </c>
      <c r="B742" t="str">
        <f t="shared" si="40"/>
        <v>102</v>
      </c>
      <c r="C742" t="str">
        <f t="shared" si="41"/>
        <v>30</v>
      </c>
      <c r="D742" t="str">
        <f>"15"</f>
        <v>15</v>
      </c>
      <c r="E742" t="str">
        <f>"102-30-15"</f>
        <v>102-30-15</v>
      </c>
      <c r="F742" t="s">
        <v>27</v>
      </c>
      <c r="G742" t="s">
        <v>28</v>
      </c>
      <c r="H742">
        <v>1</v>
      </c>
      <c r="Q742">
        <v>0</v>
      </c>
      <c r="R742">
        <v>1</v>
      </c>
      <c r="S742">
        <v>0</v>
      </c>
      <c r="T742">
        <v>1</v>
      </c>
      <c r="U742">
        <v>1</v>
      </c>
      <c r="V742">
        <v>0</v>
      </c>
    </row>
    <row r="743" spans="1:22" x14ac:dyDescent="0.25">
      <c r="A743" t="str">
        <f>"739"</f>
        <v>739</v>
      </c>
      <c r="B743" t="str">
        <f t="shared" si="40"/>
        <v>102</v>
      </c>
      <c r="C743" t="str">
        <f t="shared" si="41"/>
        <v>30</v>
      </c>
      <c r="D743" t="str">
        <f>"2"</f>
        <v>2</v>
      </c>
      <c r="E743" t="str">
        <f>"102-30-2"</f>
        <v>102-30-2</v>
      </c>
      <c r="F743" t="s">
        <v>27</v>
      </c>
      <c r="G743" t="s">
        <v>28</v>
      </c>
      <c r="H743">
        <v>1</v>
      </c>
      <c r="Q743">
        <v>0</v>
      </c>
      <c r="R743">
        <v>1</v>
      </c>
      <c r="S743">
        <v>0</v>
      </c>
      <c r="T743">
        <v>1</v>
      </c>
      <c r="U743">
        <v>0</v>
      </c>
      <c r="V743">
        <v>1</v>
      </c>
    </row>
    <row r="744" spans="1:22" x14ac:dyDescent="0.25">
      <c r="A744" t="str">
        <f>"740"</f>
        <v>740</v>
      </c>
      <c r="B744" t="str">
        <f t="shared" si="40"/>
        <v>102</v>
      </c>
      <c r="C744" t="str">
        <f t="shared" si="41"/>
        <v>30</v>
      </c>
      <c r="D744" t="str">
        <f>"22"</f>
        <v>22</v>
      </c>
      <c r="E744" t="str">
        <f>"102-30-22"</f>
        <v>102-30-22</v>
      </c>
      <c r="F744" t="s">
        <v>27</v>
      </c>
      <c r="G744" t="s">
        <v>28</v>
      </c>
      <c r="H744">
        <v>1</v>
      </c>
      <c r="Q744">
        <v>0</v>
      </c>
      <c r="R744">
        <v>1</v>
      </c>
      <c r="S744">
        <v>0</v>
      </c>
      <c r="T744">
        <v>1</v>
      </c>
      <c r="U744">
        <v>0</v>
      </c>
      <c r="V744">
        <v>1</v>
      </c>
    </row>
    <row r="745" spans="1:22" x14ac:dyDescent="0.25">
      <c r="A745" t="str">
        <f>"741"</f>
        <v>741</v>
      </c>
      <c r="B745" t="str">
        <f t="shared" si="40"/>
        <v>102</v>
      </c>
      <c r="C745" t="str">
        <f t="shared" si="41"/>
        <v>30</v>
      </c>
      <c r="D745" t="str">
        <f>"16"</f>
        <v>16</v>
      </c>
      <c r="E745" t="str">
        <f>"102-30-16"</f>
        <v>102-30-16</v>
      </c>
      <c r="F745" t="s">
        <v>27</v>
      </c>
      <c r="G745" t="s">
        <v>28</v>
      </c>
      <c r="H745">
        <v>1</v>
      </c>
      <c r="Q745">
        <v>0</v>
      </c>
      <c r="R745">
        <v>1</v>
      </c>
      <c r="S745">
        <v>0</v>
      </c>
      <c r="T745">
        <v>1</v>
      </c>
      <c r="U745">
        <v>1</v>
      </c>
      <c r="V745">
        <v>0</v>
      </c>
    </row>
    <row r="746" spans="1:22" x14ac:dyDescent="0.25">
      <c r="A746" t="str">
        <f>"742"</f>
        <v>742</v>
      </c>
      <c r="B746" t="str">
        <f t="shared" si="40"/>
        <v>102</v>
      </c>
      <c r="C746" t="str">
        <f t="shared" si="41"/>
        <v>30</v>
      </c>
      <c r="D746" t="str">
        <f>"8"</f>
        <v>8</v>
      </c>
      <c r="E746" t="str">
        <f>"102-30-8"</f>
        <v>102-30-8</v>
      </c>
      <c r="F746" t="s">
        <v>27</v>
      </c>
      <c r="G746" t="s">
        <v>28</v>
      </c>
      <c r="H746">
        <v>1</v>
      </c>
      <c r="Q746">
        <v>0</v>
      </c>
      <c r="R746">
        <v>1</v>
      </c>
      <c r="S746">
        <v>0</v>
      </c>
      <c r="T746">
        <v>1</v>
      </c>
      <c r="U746">
        <v>0</v>
      </c>
      <c r="V746">
        <v>1</v>
      </c>
    </row>
    <row r="747" spans="1:22" x14ac:dyDescent="0.25">
      <c r="A747" t="str">
        <f>"743"</f>
        <v>743</v>
      </c>
      <c r="B747" t="str">
        <f t="shared" si="40"/>
        <v>102</v>
      </c>
      <c r="C747" t="str">
        <f t="shared" si="41"/>
        <v>30</v>
      </c>
      <c r="D747" t="str">
        <f>"17"</f>
        <v>17</v>
      </c>
      <c r="E747" t="str">
        <f>"102-30-17"</f>
        <v>102-30-17</v>
      </c>
      <c r="F747" t="s">
        <v>27</v>
      </c>
      <c r="G747" t="s">
        <v>28</v>
      </c>
      <c r="H747">
        <v>1</v>
      </c>
      <c r="Q747">
        <v>0</v>
      </c>
      <c r="R747">
        <v>1</v>
      </c>
      <c r="S747">
        <v>0</v>
      </c>
      <c r="T747">
        <v>1</v>
      </c>
      <c r="U747">
        <v>1</v>
      </c>
      <c r="V747">
        <v>0</v>
      </c>
    </row>
    <row r="748" spans="1:22" x14ac:dyDescent="0.25">
      <c r="A748" t="str">
        <f>"744"</f>
        <v>744</v>
      </c>
      <c r="B748" t="str">
        <f t="shared" si="40"/>
        <v>102</v>
      </c>
      <c r="C748" t="str">
        <f t="shared" si="41"/>
        <v>30</v>
      </c>
      <c r="D748" t="str">
        <f>"6"</f>
        <v>6</v>
      </c>
      <c r="E748" t="str">
        <f>"102-30-6"</f>
        <v>102-30-6</v>
      </c>
      <c r="F748" t="s">
        <v>27</v>
      </c>
      <c r="G748" t="s">
        <v>28</v>
      </c>
      <c r="H748">
        <v>1</v>
      </c>
      <c r="Q748">
        <v>0</v>
      </c>
      <c r="R748">
        <v>1</v>
      </c>
      <c r="S748">
        <v>0</v>
      </c>
      <c r="T748">
        <v>1</v>
      </c>
      <c r="U748">
        <v>1</v>
      </c>
      <c r="V748">
        <v>0</v>
      </c>
    </row>
    <row r="749" spans="1:22" x14ac:dyDescent="0.25">
      <c r="A749" t="str">
        <f>"745"</f>
        <v>745</v>
      </c>
      <c r="B749" t="str">
        <f t="shared" si="40"/>
        <v>102</v>
      </c>
      <c r="C749" t="str">
        <f t="shared" si="41"/>
        <v>30</v>
      </c>
      <c r="D749" t="str">
        <f>"18"</f>
        <v>18</v>
      </c>
      <c r="E749" t="str">
        <f>"102-30-18"</f>
        <v>102-30-18</v>
      </c>
      <c r="F749" t="s">
        <v>27</v>
      </c>
      <c r="G749" t="s">
        <v>28</v>
      </c>
      <c r="H749">
        <v>1</v>
      </c>
      <c r="Q749">
        <v>1</v>
      </c>
      <c r="R749">
        <v>0</v>
      </c>
      <c r="S749">
        <v>1</v>
      </c>
      <c r="T749">
        <v>0</v>
      </c>
      <c r="U749">
        <v>1</v>
      </c>
      <c r="V749">
        <v>0</v>
      </c>
    </row>
    <row r="750" spans="1:22" x14ac:dyDescent="0.25">
      <c r="A750" t="str">
        <f>"746"</f>
        <v>746</v>
      </c>
      <c r="B750" t="str">
        <f t="shared" si="40"/>
        <v>102</v>
      </c>
      <c r="C750" t="str">
        <f t="shared" si="41"/>
        <v>30</v>
      </c>
      <c r="D750" t="str">
        <f>"10"</f>
        <v>10</v>
      </c>
      <c r="E750" t="str">
        <f>"102-30-10"</f>
        <v>102-30-10</v>
      </c>
      <c r="F750" t="s">
        <v>27</v>
      </c>
      <c r="G750" t="s">
        <v>28</v>
      </c>
      <c r="H750">
        <v>1</v>
      </c>
      <c r="Q750">
        <v>0</v>
      </c>
      <c r="R750">
        <v>1</v>
      </c>
      <c r="S750">
        <v>0</v>
      </c>
      <c r="T750">
        <v>1</v>
      </c>
      <c r="U750">
        <v>1</v>
      </c>
      <c r="V750">
        <v>0</v>
      </c>
    </row>
    <row r="751" spans="1:22" x14ac:dyDescent="0.25">
      <c r="A751" t="str">
        <f>"747"</f>
        <v>747</v>
      </c>
      <c r="B751" t="str">
        <f t="shared" si="40"/>
        <v>102</v>
      </c>
      <c r="C751" t="str">
        <f t="shared" si="41"/>
        <v>30</v>
      </c>
      <c r="D751" t="str">
        <f>"19"</f>
        <v>19</v>
      </c>
      <c r="E751" t="str">
        <f>"102-30-19"</f>
        <v>102-30-19</v>
      </c>
      <c r="F751" t="s">
        <v>27</v>
      </c>
      <c r="G751" t="s">
        <v>28</v>
      </c>
      <c r="H751">
        <v>1</v>
      </c>
      <c r="Q751">
        <v>0</v>
      </c>
      <c r="R751">
        <v>1</v>
      </c>
      <c r="S751">
        <v>0</v>
      </c>
      <c r="T751">
        <v>1</v>
      </c>
      <c r="U751">
        <v>1</v>
      </c>
      <c r="V751">
        <v>0</v>
      </c>
    </row>
    <row r="752" spans="1:22" x14ac:dyDescent="0.25">
      <c r="A752" t="str">
        <f>"748"</f>
        <v>748</v>
      </c>
      <c r="B752" t="str">
        <f t="shared" si="40"/>
        <v>102</v>
      </c>
      <c r="C752" t="str">
        <f t="shared" si="41"/>
        <v>30</v>
      </c>
      <c r="D752" t="str">
        <f>"9"</f>
        <v>9</v>
      </c>
      <c r="E752" t="str">
        <f>"102-30-9"</f>
        <v>102-30-9</v>
      </c>
      <c r="F752" t="s">
        <v>27</v>
      </c>
      <c r="G752" t="s">
        <v>28</v>
      </c>
      <c r="H752">
        <v>1</v>
      </c>
      <c r="Q752">
        <v>0</v>
      </c>
      <c r="R752">
        <v>1</v>
      </c>
      <c r="S752">
        <v>0</v>
      </c>
      <c r="T752">
        <v>1</v>
      </c>
      <c r="U752">
        <v>0</v>
      </c>
      <c r="V752">
        <v>1</v>
      </c>
    </row>
    <row r="753" spans="1:22" x14ac:dyDescent="0.25">
      <c r="A753" t="str">
        <f>"749"</f>
        <v>749</v>
      </c>
      <c r="B753" t="str">
        <f t="shared" si="40"/>
        <v>102</v>
      </c>
      <c r="C753" t="str">
        <f t="shared" si="41"/>
        <v>30</v>
      </c>
      <c r="D753" t="str">
        <f>"20"</f>
        <v>20</v>
      </c>
      <c r="E753" t="str">
        <f>"102-30-20"</f>
        <v>102-30-20</v>
      </c>
      <c r="F753" t="s">
        <v>27</v>
      </c>
      <c r="G753" t="s">
        <v>28</v>
      </c>
      <c r="H753">
        <v>1</v>
      </c>
      <c r="Q753">
        <v>0</v>
      </c>
      <c r="R753">
        <v>1</v>
      </c>
      <c r="S753">
        <v>0</v>
      </c>
      <c r="T753">
        <v>1</v>
      </c>
      <c r="U753">
        <v>0</v>
      </c>
      <c r="V753">
        <v>1</v>
      </c>
    </row>
    <row r="754" spans="1:22" x14ac:dyDescent="0.25">
      <c r="A754" t="str">
        <f>"750"</f>
        <v>750</v>
      </c>
      <c r="B754" t="str">
        <f t="shared" si="40"/>
        <v>102</v>
      </c>
      <c r="C754" t="str">
        <f t="shared" si="41"/>
        <v>30</v>
      </c>
      <c r="D754" t="str">
        <f>"7"</f>
        <v>7</v>
      </c>
      <c r="E754" t="str">
        <f>"102-30-7"</f>
        <v>102-30-7</v>
      </c>
      <c r="F754" t="s">
        <v>27</v>
      </c>
      <c r="G754" t="s">
        <v>28</v>
      </c>
      <c r="H754">
        <v>1</v>
      </c>
      <c r="Q754">
        <v>1</v>
      </c>
      <c r="R754">
        <v>0</v>
      </c>
      <c r="S754">
        <v>1</v>
      </c>
      <c r="T754">
        <v>0</v>
      </c>
      <c r="U754">
        <v>1</v>
      </c>
      <c r="V754">
        <v>0</v>
      </c>
    </row>
    <row r="755" spans="1:22" x14ac:dyDescent="0.25">
      <c r="A755" t="str">
        <f>"751"</f>
        <v>751</v>
      </c>
      <c r="B755" t="str">
        <f t="shared" si="40"/>
        <v>102</v>
      </c>
      <c r="C755" t="str">
        <f t="shared" ref="C755:C779" si="42">"31"</f>
        <v>31</v>
      </c>
      <c r="D755" t="str">
        <f>"21"</f>
        <v>21</v>
      </c>
      <c r="E755" t="str">
        <f>"102-31-21"</f>
        <v>102-31-21</v>
      </c>
      <c r="F755" t="s">
        <v>27</v>
      </c>
      <c r="G755" t="s">
        <v>28</v>
      </c>
      <c r="H755">
        <v>1</v>
      </c>
      <c r="Q755">
        <v>1</v>
      </c>
      <c r="R755">
        <v>0</v>
      </c>
      <c r="S755">
        <v>1</v>
      </c>
      <c r="T755">
        <v>0</v>
      </c>
      <c r="U755">
        <v>1</v>
      </c>
      <c r="V755">
        <v>0</v>
      </c>
    </row>
    <row r="756" spans="1:22" x14ac:dyDescent="0.25">
      <c r="A756" t="str">
        <f>"752"</f>
        <v>752</v>
      </c>
      <c r="B756" t="str">
        <f t="shared" si="40"/>
        <v>102</v>
      </c>
      <c r="C756" t="str">
        <f t="shared" si="42"/>
        <v>31</v>
      </c>
      <c r="D756" t="str">
        <f>"11"</f>
        <v>11</v>
      </c>
      <c r="E756" t="str">
        <f>"102-31-11"</f>
        <v>102-31-11</v>
      </c>
      <c r="F756" t="s">
        <v>27</v>
      </c>
      <c r="G756" t="s">
        <v>28</v>
      </c>
      <c r="H756">
        <v>1</v>
      </c>
      <c r="Q756">
        <v>1</v>
      </c>
      <c r="R756">
        <v>0</v>
      </c>
      <c r="S756">
        <v>1</v>
      </c>
      <c r="T756">
        <v>0</v>
      </c>
      <c r="U756">
        <v>1</v>
      </c>
      <c r="V756">
        <v>0</v>
      </c>
    </row>
    <row r="757" spans="1:22" x14ac:dyDescent="0.25">
      <c r="A757" t="str">
        <f>"753"</f>
        <v>753</v>
      </c>
      <c r="B757" t="str">
        <f t="shared" si="40"/>
        <v>102</v>
      </c>
      <c r="C757" t="str">
        <f t="shared" si="42"/>
        <v>31</v>
      </c>
      <c r="D757" t="str">
        <f>"1"</f>
        <v>1</v>
      </c>
      <c r="E757" t="str">
        <f>"102-31-1"</f>
        <v>102-31-1</v>
      </c>
      <c r="F757" t="s">
        <v>27</v>
      </c>
      <c r="G757" t="s">
        <v>28</v>
      </c>
      <c r="H757">
        <v>1</v>
      </c>
      <c r="Q757">
        <v>1</v>
      </c>
      <c r="R757">
        <v>0</v>
      </c>
      <c r="S757">
        <v>1</v>
      </c>
      <c r="T757">
        <v>0</v>
      </c>
      <c r="U757">
        <v>1</v>
      </c>
      <c r="V757">
        <v>0</v>
      </c>
    </row>
    <row r="758" spans="1:22" x14ac:dyDescent="0.25">
      <c r="A758" t="str">
        <f>"754"</f>
        <v>754</v>
      </c>
      <c r="B758" t="str">
        <f t="shared" si="40"/>
        <v>102</v>
      </c>
      <c r="C758" t="str">
        <f t="shared" si="42"/>
        <v>31</v>
      </c>
      <c r="D758" t="str">
        <f>"23"</f>
        <v>23</v>
      </c>
      <c r="E758" t="str">
        <f>"102-31-23"</f>
        <v>102-31-23</v>
      </c>
      <c r="F758" t="s">
        <v>27</v>
      </c>
      <c r="G758" t="s">
        <v>28</v>
      </c>
      <c r="H758">
        <v>1</v>
      </c>
      <c r="Q758">
        <v>0</v>
      </c>
      <c r="R758">
        <v>1</v>
      </c>
      <c r="S758">
        <v>0</v>
      </c>
      <c r="T758">
        <v>1</v>
      </c>
      <c r="U758">
        <v>0</v>
      </c>
      <c r="V758">
        <v>1</v>
      </c>
    </row>
    <row r="759" spans="1:22" x14ac:dyDescent="0.25">
      <c r="A759" t="str">
        <f>"755"</f>
        <v>755</v>
      </c>
      <c r="B759" t="str">
        <f t="shared" si="40"/>
        <v>102</v>
      </c>
      <c r="C759" t="str">
        <f t="shared" si="42"/>
        <v>31</v>
      </c>
      <c r="D759" t="str">
        <f>"12"</f>
        <v>12</v>
      </c>
      <c r="E759" t="str">
        <f>"102-31-12"</f>
        <v>102-31-12</v>
      </c>
      <c r="F759" t="s">
        <v>27</v>
      </c>
      <c r="G759" t="s">
        <v>28</v>
      </c>
      <c r="H759">
        <v>1</v>
      </c>
      <c r="Q759">
        <v>1</v>
      </c>
      <c r="R759">
        <v>0</v>
      </c>
      <c r="S759">
        <v>1</v>
      </c>
      <c r="T759">
        <v>0</v>
      </c>
      <c r="U759">
        <v>1</v>
      </c>
      <c r="V759">
        <v>0</v>
      </c>
    </row>
    <row r="760" spans="1:22" x14ac:dyDescent="0.25">
      <c r="A760" t="str">
        <f>"756"</f>
        <v>756</v>
      </c>
      <c r="B760" t="str">
        <f t="shared" si="40"/>
        <v>102</v>
      </c>
      <c r="C760" t="str">
        <f t="shared" si="42"/>
        <v>31</v>
      </c>
      <c r="D760" t="str">
        <f>"3"</f>
        <v>3</v>
      </c>
      <c r="E760" t="str">
        <f>"102-31-3"</f>
        <v>102-31-3</v>
      </c>
      <c r="F760" t="s">
        <v>27</v>
      </c>
      <c r="G760" t="s">
        <v>28</v>
      </c>
      <c r="H760">
        <v>1</v>
      </c>
      <c r="Q760">
        <v>0</v>
      </c>
      <c r="R760">
        <v>1</v>
      </c>
      <c r="S760">
        <v>0</v>
      </c>
      <c r="T760">
        <v>1</v>
      </c>
      <c r="U760">
        <v>0</v>
      </c>
      <c r="V760">
        <v>1</v>
      </c>
    </row>
    <row r="761" spans="1:22" x14ac:dyDescent="0.25">
      <c r="A761" t="str">
        <f>"757"</f>
        <v>757</v>
      </c>
      <c r="B761" t="str">
        <f t="shared" si="40"/>
        <v>102</v>
      </c>
      <c r="C761" t="str">
        <f t="shared" si="42"/>
        <v>31</v>
      </c>
      <c r="D761" t="str">
        <f>"13"</f>
        <v>13</v>
      </c>
      <c r="E761" t="str">
        <f>"102-31-13"</f>
        <v>102-31-13</v>
      </c>
      <c r="F761" t="s">
        <v>27</v>
      </c>
      <c r="G761" t="s">
        <v>28</v>
      </c>
      <c r="H761">
        <v>1</v>
      </c>
      <c r="Q761">
        <v>0</v>
      </c>
      <c r="R761">
        <v>1</v>
      </c>
      <c r="S761">
        <v>0</v>
      </c>
      <c r="T761">
        <v>1</v>
      </c>
      <c r="U761">
        <v>1</v>
      </c>
      <c r="V761">
        <v>0</v>
      </c>
    </row>
    <row r="762" spans="1:22" x14ac:dyDescent="0.25">
      <c r="A762" t="str">
        <f>"758"</f>
        <v>758</v>
      </c>
      <c r="B762" t="str">
        <f t="shared" si="40"/>
        <v>102</v>
      </c>
      <c r="C762" t="str">
        <f t="shared" si="42"/>
        <v>31</v>
      </c>
      <c r="D762" t="str">
        <f>"9"</f>
        <v>9</v>
      </c>
      <c r="E762" t="str">
        <f>"102-31-9"</f>
        <v>102-31-9</v>
      </c>
      <c r="F762" t="s">
        <v>27</v>
      </c>
      <c r="G762" t="s">
        <v>28</v>
      </c>
      <c r="H762">
        <v>1</v>
      </c>
      <c r="Q762">
        <v>0</v>
      </c>
      <c r="R762">
        <v>1</v>
      </c>
      <c r="S762">
        <v>0</v>
      </c>
      <c r="T762">
        <v>1</v>
      </c>
      <c r="U762">
        <v>1</v>
      </c>
      <c r="V762">
        <v>0</v>
      </c>
    </row>
    <row r="763" spans="1:22" x14ac:dyDescent="0.25">
      <c r="A763" t="str">
        <f>"759"</f>
        <v>759</v>
      </c>
      <c r="B763" t="str">
        <f t="shared" si="40"/>
        <v>102</v>
      </c>
      <c r="C763" t="str">
        <f t="shared" si="42"/>
        <v>31</v>
      </c>
      <c r="D763" t="str">
        <f>"14"</f>
        <v>14</v>
      </c>
      <c r="E763" t="str">
        <f>"102-31-14"</f>
        <v>102-31-14</v>
      </c>
      <c r="F763" t="s">
        <v>27</v>
      </c>
      <c r="G763" t="s">
        <v>28</v>
      </c>
      <c r="H763">
        <v>1</v>
      </c>
      <c r="Q763">
        <v>1</v>
      </c>
      <c r="R763">
        <v>0</v>
      </c>
      <c r="S763">
        <v>1</v>
      </c>
      <c r="T763">
        <v>0</v>
      </c>
      <c r="U763">
        <v>1</v>
      </c>
      <c r="V763">
        <v>0</v>
      </c>
    </row>
    <row r="764" spans="1:22" x14ac:dyDescent="0.25">
      <c r="A764" t="str">
        <f>"760"</f>
        <v>760</v>
      </c>
      <c r="B764" t="str">
        <f t="shared" si="40"/>
        <v>102</v>
      </c>
      <c r="C764" t="str">
        <f t="shared" si="42"/>
        <v>31</v>
      </c>
      <c r="D764" t="str">
        <f>"6"</f>
        <v>6</v>
      </c>
      <c r="E764" t="str">
        <f>"102-31-6"</f>
        <v>102-31-6</v>
      </c>
      <c r="F764" t="s">
        <v>27</v>
      </c>
      <c r="G764" t="s">
        <v>28</v>
      </c>
      <c r="H764">
        <v>1</v>
      </c>
      <c r="Q764">
        <v>1</v>
      </c>
      <c r="R764">
        <v>0</v>
      </c>
      <c r="S764">
        <v>1</v>
      </c>
      <c r="T764">
        <v>0</v>
      </c>
      <c r="U764">
        <v>0</v>
      </c>
      <c r="V764">
        <v>1</v>
      </c>
    </row>
    <row r="765" spans="1:22" x14ac:dyDescent="0.25">
      <c r="A765" t="str">
        <f>"761"</f>
        <v>761</v>
      </c>
      <c r="B765" t="str">
        <f t="shared" si="40"/>
        <v>102</v>
      </c>
      <c r="C765" t="str">
        <f t="shared" si="42"/>
        <v>31</v>
      </c>
      <c r="D765" t="str">
        <f>"15"</f>
        <v>15</v>
      </c>
      <c r="E765" t="str">
        <f>"102-31-15"</f>
        <v>102-31-15</v>
      </c>
      <c r="F765" t="s">
        <v>27</v>
      </c>
      <c r="G765" t="s">
        <v>28</v>
      </c>
      <c r="H765">
        <v>1</v>
      </c>
      <c r="Q765">
        <v>1</v>
      </c>
      <c r="R765">
        <v>0</v>
      </c>
      <c r="S765">
        <v>1</v>
      </c>
      <c r="T765">
        <v>0</v>
      </c>
      <c r="U765">
        <v>1</v>
      </c>
      <c r="V765">
        <v>0</v>
      </c>
    </row>
    <row r="766" spans="1:22" x14ac:dyDescent="0.25">
      <c r="A766" t="str">
        <f>"762"</f>
        <v>762</v>
      </c>
      <c r="B766" t="str">
        <f t="shared" si="40"/>
        <v>102</v>
      </c>
      <c r="C766" t="str">
        <f t="shared" si="42"/>
        <v>31</v>
      </c>
      <c r="D766" t="str">
        <f>"8"</f>
        <v>8</v>
      </c>
      <c r="E766" t="str">
        <f>"102-31-8"</f>
        <v>102-31-8</v>
      </c>
      <c r="F766" t="s">
        <v>27</v>
      </c>
      <c r="G766" t="s">
        <v>28</v>
      </c>
      <c r="H766">
        <v>1</v>
      </c>
      <c r="Q766">
        <v>0</v>
      </c>
      <c r="R766">
        <v>1</v>
      </c>
      <c r="S766">
        <v>0</v>
      </c>
      <c r="T766">
        <v>1</v>
      </c>
      <c r="U766">
        <v>1</v>
      </c>
      <c r="V766">
        <v>0</v>
      </c>
    </row>
    <row r="767" spans="1:22" x14ac:dyDescent="0.25">
      <c r="A767" t="str">
        <f>"763"</f>
        <v>763</v>
      </c>
      <c r="B767" t="str">
        <f t="shared" si="40"/>
        <v>102</v>
      </c>
      <c r="C767" t="str">
        <f t="shared" si="42"/>
        <v>31</v>
      </c>
      <c r="D767" t="str">
        <f>"25"</f>
        <v>25</v>
      </c>
      <c r="E767" t="str">
        <f>"102-31-25"</f>
        <v>102-31-25</v>
      </c>
      <c r="F767" t="s">
        <v>27</v>
      </c>
      <c r="G767" t="s">
        <v>28</v>
      </c>
      <c r="H767">
        <v>1</v>
      </c>
      <c r="Q767">
        <v>1</v>
      </c>
      <c r="R767">
        <v>0</v>
      </c>
      <c r="S767">
        <v>0</v>
      </c>
      <c r="T767">
        <v>0</v>
      </c>
      <c r="U767">
        <v>1</v>
      </c>
      <c r="V767">
        <v>0</v>
      </c>
    </row>
    <row r="768" spans="1:22" x14ac:dyDescent="0.25">
      <c r="A768" t="str">
        <f>"764"</f>
        <v>764</v>
      </c>
      <c r="B768" t="str">
        <f t="shared" si="40"/>
        <v>102</v>
      </c>
      <c r="C768" t="str">
        <f t="shared" si="42"/>
        <v>31</v>
      </c>
      <c r="D768" t="str">
        <f>"16"</f>
        <v>16</v>
      </c>
      <c r="E768" t="str">
        <f>"102-31-16"</f>
        <v>102-31-16</v>
      </c>
      <c r="F768" t="s">
        <v>27</v>
      </c>
      <c r="G768" t="s">
        <v>28</v>
      </c>
      <c r="H768">
        <v>1</v>
      </c>
      <c r="Q768">
        <v>0</v>
      </c>
      <c r="R768">
        <v>1</v>
      </c>
      <c r="S768">
        <v>0</v>
      </c>
      <c r="T768">
        <v>1</v>
      </c>
      <c r="U768">
        <v>1</v>
      </c>
      <c r="V768">
        <v>0</v>
      </c>
    </row>
    <row r="769" spans="1:22" x14ac:dyDescent="0.25">
      <c r="A769" t="str">
        <f>"765"</f>
        <v>765</v>
      </c>
      <c r="B769" t="str">
        <f t="shared" si="40"/>
        <v>102</v>
      </c>
      <c r="C769" t="str">
        <f t="shared" si="42"/>
        <v>31</v>
      </c>
      <c r="D769" t="str">
        <f>"10"</f>
        <v>10</v>
      </c>
      <c r="E769" t="str">
        <f>"102-31-10"</f>
        <v>102-31-10</v>
      </c>
      <c r="F769" t="s">
        <v>27</v>
      </c>
      <c r="G769" t="s">
        <v>28</v>
      </c>
      <c r="H769">
        <v>1</v>
      </c>
      <c r="Q769">
        <v>1</v>
      </c>
      <c r="R769">
        <v>0</v>
      </c>
      <c r="S769">
        <v>1</v>
      </c>
      <c r="T769">
        <v>0</v>
      </c>
      <c r="U769">
        <v>1</v>
      </c>
      <c r="V769">
        <v>0</v>
      </c>
    </row>
    <row r="770" spans="1:22" x14ac:dyDescent="0.25">
      <c r="A770" t="str">
        <f>"766"</f>
        <v>766</v>
      </c>
      <c r="B770" t="str">
        <f t="shared" si="40"/>
        <v>102</v>
      </c>
      <c r="C770" t="str">
        <f t="shared" si="42"/>
        <v>31</v>
      </c>
      <c r="D770" t="str">
        <f>"17"</f>
        <v>17</v>
      </c>
      <c r="E770" t="str">
        <f>"102-31-17"</f>
        <v>102-31-17</v>
      </c>
      <c r="F770" t="s">
        <v>27</v>
      </c>
      <c r="G770" t="s">
        <v>28</v>
      </c>
      <c r="H770">
        <v>1</v>
      </c>
      <c r="Q770">
        <v>0</v>
      </c>
      <c r="R770">
        <v>1</v>
      </c>
      <c r="S770">
        <v>0</v>
      </c>
      <c r="T770">
        <v>1</v>
      </c>
      <c r="U770">
        <v>0</v>
      </c>
      <c r="V770">
        <v>1</v>
      </c>
    </row>
    <row r="771" spans="1:22" x14ac:dyDescent="0.25">
      <c r="A771" t="str">
        <f>"767"</f>
        <v>767</v>
      </c>
      <c r="B771" t="str">
        <f t="shared" si="40"/>
        <v>102</v>
      </c>
      <c r="C771" t="str">
        <f t="shared" si="42"/>
        <v>31</v>
      </c>
      <c r="D771" t="str">
        <f>"5"</f>
        <v>5</v>
      </c>
      <c r="E771" t="str">
        <f>"102-31-5"</f>
        <v>102-31-5</v>
      </c>
      <c r="F771" t="s">
        <v>27</v>
      </c>
      <c r="G771" t="s">
        <v>28</v>
      </c>
      <c r="H771">
        <v>1</v>
      </c>
      <c r="Q771">
        <v>0</v>
      </c>
      <c r="R771">
        <v>1</v>
      </c>
      <c r="S771">
        <v>0</v>
      </c>
      <c r="T771">
        <v>1</v>
      </c>
      <c r="U771">
        <v>0</v>
      </c>
      <c r="V771">
        <v>1</v>
      </c>
    </row>
    <row r="772" spans="1:22" x14ac:dyDescent="0.25">
      <c r="A772" t="str">
        <f>"768"</f>
        <v>768</v>
      </c>
      <c r="B772" t="str">
        <f t="shared" si="40"/>
        <v>102</v>
      </c>
      <c r="C772" t="str">
        <f t="shared" si="42"/>
        <v>31</v>
      </c>
      <c r="D772" t="str">
        <f>"24"</f>
        <v>24</v>
      </c>
      <c r="E772" t="str">
        <f>"102-31-24"</f>
        <v>102-31-24</v>
      </c>
      <c r="F772" t="s">
        <v>27</v>
      </c>
      <c r="G772" t="s">
        <v>28</v>
      </c>
      <c r="H772">
        <v>1</v>
      </c>
      <c r="Q772">
        <v>0</v>
      </c>
      <c r="R772">
        <v>1</v>
      </c>
      <c r="S772">
        <v>0</v>
      </c>
      <c r="T772">
        <v>1</v>
      </c>
      <c r="U772">
        <v>1</v>
      </c>
      <c r="V772">
        <v>0</v>
      </c>
    </row>
    <row r="773" spans="1:22" x14ac:dyDescent="0.25">
      <c r="A773" t="str">
        <f>"769"</f>
        <v>769</v>
      </c>
      <c r="B773" t="str">
        <f t="shared" ref="B773:B836" si="43">"102"</f>
        <v>102</v>
      </c>
      <c r="C773" t="str">
        <f t="shared" si="42"/>
        <v>31</v>
      </c>
      <c r="D773" t="str">
        <f>"18"</f>
        <v>18</v>
      </c>
      <c r="E773" t="str">
        <f>"102-31-18"</f>
        <v>102-31-18</v>
      </c>
      <c r="F773" t="s">
        <v>27</v>
      </c>
      <c r="G773" t="s">
        <v>28</v>
      </c>
      <c r="H773">
        <v>1</v>
      </c>
      <c r="Q773">
        <v>0</v>
      </c>
      <c r="R773">
        <v>1</v>
      </c>
      <c r="S773">
        <v>0</v>
      </c>
      <c r="T773">
        <v>1</v>
      </c>
      <c r="U773">
        <v>0</v>
      </c>
      <c r="V773">
        <v>1</v>
      </c>
    </row>
    <row r="774" spans="1:22" x14ac:dyDescent="0.25">
      <c r="A774" t="str">
        <f>"770"</f>
        <v>770</v>
      </c>
      <c r="B774" t="str">
        <f t="shared" si="43"/>
        <v>102</v>
      </c>
      <c r="C774" t="str">
        <f t="shared" si="42"/>
        <v>31</v>
      </c>
      <c r="D774" t="str">
        <f>"7"</f>
        <v>7</v>
      </c>
      <c r="E774" t="str">
        <f>"102-31-7"</f>
        <v>102-31-7</v>
      </c>
      <c r="F774" t="s">
        <v>27</v>
      </c>
      <c r="G774" t="s">
        <v>28</v>
      </c>
      <c r="H774">
        <v>1</v>
      </c>
      <c r="Q774">
        <v>0</v>
      </c>
      <c r="R774">
        <v>1</v>
      </c>
      <c r="S774">
        <v>1</v>
      </c>
      <c r="T774">
        <v>0</v>
      </c>
      <c r="U774">
        <v>1</v>
      </c>
      <c r="V774">
        <v>0</v>
      </c>
    </row>
    <row r="775" spans="1:22" x14ac:dyDescent="0.25">
      <c r="A775" t="str">
        <f>"771"</f>
        <v>771</v>
      </c>
      <c r="B775" t="str">
        <f t="shared" si="43"/>
        <v>102</v>
      </c>
      <c r="C775" t="str">
        <f t="shared" si="42"/>
        <v>31</v>
      </c>
      <c r="D775" t="str">
        <f>"22"</f>
        <v>22</v>
      </c>
      <c r="E775" t="str">
        <f>"102-31-22"</f>
        <v>102-31-22</v>
      </c>
      <c r="F775" t="s">
        <v>27</v>
      </c>
      <c r="G775" t="s">
        <v>28</v>
      </c>
      <c r="H775">
        <v>1</v>
      </c>
      <c r="Q775">
        <v>0</v>
      </c>
      <c r="R775">
        <v>1</v>
      </c>
      <c r="S775">
        <v>0</v>
      </c>
      <c r="T775">
        <v>1</v>
      </c>
      <c r="U775">
        <v>0</v>
      </c>
      <c r="V775">
        <v>1</v>
      </c>
    </row>
    <row r="776" spans="1:22" x14ac:dyDescent="0.25">
      <c r="A776" t="str">
        <f>"772"</f>
        <v>772</v>
      </c>
      <c r="B776" t="str">
        <f t="shared" si="43"/>
        <v>102</v>
      </c>
      <c r="C776" t="str">
        <f t="shared" si="42"/>
        <v>31</v>
      </c>
      <c r="D776" t="str">
        <f>"19"</f>
        <v>19</v>
      </c>
      <c r="E776" t="str">
        <f>"102-31-19"</f>
        <v>102-31-19</v>
      </c>
      <c r="F776" t="s">
        <v>27</v>
      </c>
      <c r="G776" t="s">
        <v>28</v>
      </c>
      <c r="H776">
        <v>1</v>
      </c>
      <c r="Q776">
        <v>1</v>
      </c>
      <c r="R776">
        <v>0</v>
      </c>
      <c r="S776">
        <v>1</v>
      </c>
      <c r="T776">
        <v>0</v>
      </c>
      <c r="U776">
        <v>1</v>
      </c>
      <c r="V776">
        <v>0</v>
      </c>
    </row>
    <row r="777" spans="1:22" x14ac:dyDescent="0.25">
      <c r="A777" t="str">
        <f>"773"</f>
        <v>773</v>
      </c>
      <c r="B777" t="str">
        <f t="shared" si="43"/>
        <v>102</v>
      </c>
      <c r="C777" t="str">
        <f t="shared" si="42"/>
        <v>31</v>
      </c>
      <c r="D777" t="str">
        <f>"2"</f>
        <v>2</v>
      </c>
      <c r="E777" t="str">
        <f>"102-31-2"</f>
        <v>102-31-2</v>
      </c>
      <c r="F777" t="s">
        <v>27</v>
      </c>
      <c r="G777" t="s">
        <v>28</v>
      </c>
      <c r="H777">
        <v>1</v>
      </c>
      <c r="Q777">
        <v>0</v>
      </c>
      <c r="R777">
        <v>1</v>
      </c>
      <c r="S777">
        <v>0</v>
      </c>
      <c r="T777">
        <v>1</v>
      </c>
      <c r="U777">
        <v>0</v>
      </c>
      <c r="V777">
        <v>1</v>
      </c>
    </row>
    <row r="778" spans="1:22" x14ac:dyDescent="0.25">
      <c r="A778" t="str">
        <f>"774"</f>
        <v>774</v>
      </c>
      <c r="B778" t="str">
        <f t="shared" si="43"/>
        <v>102</v>
      </c>
      <c r="C778" t="str">
        <f t="shared" si="42"/>
        <v>31</v>
      </c>
      <c r="D778" t="str">
        <f>"20"</f>
        <v>20</v>
      </c>
      <c r="E778" t="str">
        <f>"102-31-20"</f>
        <v>102-31-20</v>
      </c>
      <c r="F778" t="s">
        <v>27</v>
      </c>
      <c r="G778" t="s">
        <v>28</v>
      </c>
      <c r="H778">
        <v>1</v>
      </c>
      <c r="Q778">
        <v>0</v>
      </c>
      <c r="R778">
        <v>1</v>
      </c>
      <c r="S778">
        <v>0</v>
      </c>
      <c r="T778">
        <v>1</v>
      </c>
      <c r="U778">
        <v>1</v>
      </c>
      <c r="V778">
        <v>0</v>
      </c>
    </row>
    <row r="779" spans="1:22" x14ac:dyDescent="0.25">
      <c r="A779" t="str">
        <f>"775"</f>
        <v>775</v>
      </c>
      <c r="B779" t="str">
        <f t="shared" si="43"/>
        <v>102</v>
      </c>
      <c r="C779" t="str">
        <f t="shared" si="42"/>
        <v>31</v>
      </c>
      <c r="D779" t="str">
        <f>"4"</f>
        <v>4</v>
      </c>
      <c r="E779" t="str">
        <f>"102-31-4"</f>
        <v>102-31-4</v>
      </c>
      <c r="F779" t="s">
        <v>27</v>
      </c>
      <c r="G779" t="s">
        <v>28</v>
      </c>
      <c r="H779">
        <v>1</v>
      </c>
      <c r="Q779">
        <v>1</v>
      </c>
      <c r="R779">
        <v>0</v>
      </c>
      <c r="S779">
        <v>1</v>
      </c>
      <c r="T779">
        <v>0</v>
      </c>
      <c r="U779">
        <v>1</v>
      </c>
      <c r="V779">
        <v>0</v>
      </c>
    </row>
    <row r="780" spans="1:22" x14ac:dyDescent="0.25">
      <c r="A780" t="str">
        <f>"776"</f>
        <v>776</v>
      </c>
      <c r="B780" t="str">
        <f t="shared" si="43"/>
        <v>102</v>
      </c>
      <c r="C780" t="str">
        <f t="shared" ref="C780:C804" si="44">"32"</f>
        <v>32</v>
      </c>
      <c r="D780" t="str">
        <f>"21"</f>
        <v>21</v>
      </c>
      <c r="E780" t="str">
        <f>"102-32-21"</f>
        <v>102-32-21</v>
      </c>
      <c r="F780" t="s">
        <v>27</v>
      </c>
      <c r="G780" t="s">
        <v>28</v>
      </c>
      <c r="H780">
        <v>1</v>
      </c>
      <c r="Q780">
        <v>1</v>
      </c>
      <c r="R780">
        <v>0</v>
      </c>
      <c r="S780">
        <v>0</v>
      </c>
      <c r="T780">
        <v>1</v>
      </c>
      <c r="U780">
        <v>0</v>
      </c>
      <c r="V780">
        <v>1</v>
      </c>
    </row>
    <row r="781" spans="1:22" x14ac:dyDescent="0.25">
      <c r="A781" t="str">
        <f>"777"</f>
        <v>777</v>
      </c>
      <c r="B781" t="str">
        <f t="shared" si="43"/>
        <v>102</v>
      </c>
      <c r="C781" t="str">
        <f t="shared" si="44"/>
        <v>32</v>
      </c>
      <c r="D781" t="str">
        <f>"2"</f>
        <v>2</v>
      </c>
      <c r="E781" t="str">
        <f>"102-32-2"</f>
        <v>102-32-2</v>
      </c>
      <c r="F781" t="s">
        <v>27</v>
      </c>
      <c r="G781" t="s">
        <v>28</v>
      </c>
      <c r="H781">
        <v>1</v>
      </c>
      <c r="Q781">
        <v>1</v>
      </c>
      <c r="R781">
        <v>0</v>
      </c>
      <c r="S781">
        <v>1</v>
      </c>
      <c r="T781">
        <v>0</v>
      </c>
      <c r="U781">
        <v>1</v>
      </c>
      <c r="V781">
        <v>0</v>
      </c>
    </row>
    <row r="782" spans="1:22" x14ac:dyDescent="0.25">
      <c r="A782" t="str">
        <f>"778"</f>
        <v>778</v>
      </c>
      <c r="B782" t="str">
        <f t="shared" si="43"/>
        <v>102</v>
      </c>
      <c r="C782" t="str">
        <f t="shared" si="44"/>
        <v>32</v>
      </c>
      <c r="D782" t="str">
        <f>"23"</f>
        <v>23</v>
      </c>
      <c r="E782" t="str">
        <f>"102-32-23"</f>
        <v>102-32-23</v>
      </c>
      <c r="F782" t="s">
        <v>27</v>
      </c>
      <c r="G782" t="s">
        <v>28</v>
      </c>
      <c r="H782">
        <v>1</v>
      </c>
      <c r="Q782">
        <v>0</v>
      </c>
      <c r="R782">
        <v>1</v>
      </c>
      <c r="S782">
        <v>0</v>
      </c>
      <c r="T782">
        <v>1</v>
      </c>
      <c r="U782">
        <v>0</v>
      </c>
      <c r="V782">
        <v>1</v>
      </c>
    </row>
    <row r="783" spans="1:22" x14ac:dyDescent="0.25">
      <c r="A783" t="str">
        <f>"779"</f>
        <v>779</v>
      </c>
      <c r="B783" t="str">
        <f t="shared" si="43"/>
        <v>102</v>
      </c>
      <c r="C783" t="str">
        <f t="shared" si="44"/>
        <v>32</v>
      </c>
      <c r="D783" t="str">
        <f>"12"</f>
        <v>12</v>
      </c>
      <c r="E783" t="str">
        <f>"102-32-12"</f>
        <v>102-32-12</v>
      </c>
      <c r="F783" t="s">
        <v>27</v>
      </c>
      <c r="G783" t="s">
        <v>28</v>
      </c>
      <c r="H783">
        <v>1</v>
      </c>
      <c r="Q783">
        <v>0</v>
      </c>
      <c r="R783">
        <v>1</v>
      </c>
      <c r="S783">
        <v>1</v>
      </c>
      <c r="T783">
        <v>0</v>
      </c>
      <c r="U783">
        <v>1</v>
      </c>
      <c r="V783">
        <v>0</v>
      </c>
    </row>
    <row r="784" spans="1:22" x14ac:dyDescent="0.25">
      <c r="A784" t="str">
        <f>"780"</f>
        <v>780</v>
      </c>
      <c r="B784" t="str">
        <f t="shared" si="43"/>
        <v>102</v>
      </c>
      <c r="C784" t="str">
        <f t="shared" si="44"/>
        <v>32</v>
      </c>
      <c r="D784" t="str">
        <f>"1"</f>
        <v>1</v>
      </c>
      <c r="E784" t="str">
        <f>"102-32-1"</f>
        <v>102-32-1</v>
      </c>
      <c r="F784" t="s">
        <v>27</v>
      </c>
      <c r="G784" t="s">
        <v>28</v>
      </c>
      <c r="H784">
        <v>1</v>
      </c>
      <c r="Q784">
        <v>1</v>
      </c>
      <c r="R784">
        <v>0</v>
      </c>
      <c r="S784">
        <v>1</v>
      </c>
      <c r="T784">
        <v>0</v>
      </c>
      <c r="U784">
        <v>0</v>
      </c>
      <c r="V784">
        <v>0</v>
      </c>
    </row>
    <row r="785" spans="1:24" x14ac:dyDescent="0.25">
      <c r="A785" t="str">
        <f>"781"</f>
        <v>781</v>
      </c>
      <c r="B785" t="str">
        <f t="shared" si="43"/>
        <v>102</v>
      </c>
      <c r="C785" t="str">
        <f t="shared" si="44"/>
        <v>32</v>
      </c>
      <c r="D785" t="str">
        <f>"22"</f>
        <v>22</v>
      </c>
      <c r="E785" t="str">
        <f>"102-32-22"</f>
        <v>102-32-22</v>
      </c>
      <c r="F785" t="s">
        <v>27</v>
      </c>
      <c r="G785" t="s">
        <v>28</v>
      </c>
      <c r="H785">
        <v>1</v>
      </c>
      <c r="Q785">
        <v>0</v>
      </c>
      <c r="R785">
        <v>1</v>
      </c>
      <c r="S785">
        <v>0</v>
      </c>
      <c r="T785">
        <v>1</v>
      </c>
      <c r="U785">
        <v>0</v>
      </c>
      <c r="V785">
        <v>1</v>
      </c>
    </row>
    <row r="786" spans="1:24" x14ac:dyDescent="0.25">
      <c r="A786" t="str">
        <f>"782"</f>
        <v>782</v>
      </c>
      <c r="B786" t="str">
        <f t="shared" si="43"/>
        <v>102</v>
      </c>
      <c r="C786" t="str">
        <f t="shared" si="44"/>
        <v>32</v>
      </c>
      <c r="D786" t="str">
        <f>"13"</f>
        <v>13</v>
      </c>
      <c r="E786" t="str">
        <f>"102-32-13"</f>
        <v>102-32-13</v>
      </c>
      <c r="F786" t="s">
        <v>27</v>
      </c>
      <c r="G786" t="s">
        <v>28</v>
      </c>
      <c r="H786">
        <v>1</v>
      </c>
      <c r="Q786">
        <v>0</v>
      </c>
      <c r="R786">
        <v>1</v>
      </c>
      <c r="S786">
        <v>0</v>
      </c>
      <c r="T786">
        <v>1</v>
      </c>
      <c r="U786">
        <v>0</v>
      </c>
      <c r="V786">
        <v>1</v>
      </c>
    </row>
    <row r="787" spans="1:24" x14ac:dyDescent="0.25">
      <c r="A787" t="str">
        <f>"783"</f>
        <v>783</v>
      </c>
      <c r="B787" t="str">
        <f t="shared" si="43"/>
        <v>102</v>
      </c>
      <c r="C787" t="str">
        <f t="shared" si="44"/>
        <v>32</v>
      </c>
      <c r="D787" t="str">
        <f>"3"</f>
        <v>3</v>
      </c>
      <c r="E787" t="str">
        <f>"102-32-3"</f>
        <v>102-32-3</v>
      </c>
      <c r="F787" t="s">
        <v>27</v>
      </c>
      <c r="G787" t="s">
        <v>28</v>
      </c>
      <c r="H787">
        <v>1</v>
      </c>
      <c r="Q787">
        <v>0</v>
      </c>
      <c r="R787">
        <v>1</v>
      </c>
      <c r="S787">
        <v>0</v>
      </c>
      <c r="T787">
        <v>1</v>
      </c>
      <c r="U787">
        <v>1</v>
      </c>
      <c r="V787">
        <v>0</v>
      </c>
    </row>
    <row r="788" spans="1:24" x14ac:dyDescent="0.25">
      <c r="A788" t="str">
        <f>"784"</f>
        <v>784</v>
      </c>
      <c r="B788" t="str">
        <f t="shared" si="43"/>
        <v>102</v>
      </c>
      <c r="C788" t="str">
        <f t="shared" si="44"/>
        <v>32</v>
      </c>
      <c r="D788" t="str">
        <f>"14"</f>
        <v>14</v>
      </c>
      <c r="E788" t="str">
        <f>"102-32-14"</f>
        <v>102-32-14</v>
      </c>
      <c r="F788" t="s">
        <v>27</v>
      </c>
      <c r="G788" t="s">
        <v>30</v>
      </c>
      <c r="H788">
        <v>2</v>
      </c>
      <c r="I788">
        <v>0</v>
      </c>
      <c r="J788">
        <v>0</v>
      </c>
      <c r="K788">
        <v>0</v>
      </c>
      <c r="L788">
        <v>0</v>
      </c>
      <c r="Q788">
        <v>1</v>
      </c>
      <c r="R788">
        <v>0</v>
      </c>
      <c r="S788">
        <v>0</v>
      </c>
      <c r="T788">
        <v>1</v>
      </c>
      <c r="U788">
        <v>1</v>
      </c>
      <c r="V788">
        <v>0</v>
      </c>
      <c r="W788">
        <v>1</v>
      </c>
      <c r="X788">
        <v>0</v>
      </c>
    </row>
    <row r="789" spans="1:24" x14ac:dyDescent="0.25">
      <c r="A789" t="str">
        <f>"785"</f>
        <v>785</v>
      </c>
      <c r="B789" t="str">
        <f t="shared" si="43"/>
        <v>102</v>
      </c>
      <c r="C789" t="str">
        <f t="shared" si="44"/>
        <v>32</v>
      </c>
      <c r="D789" t="str">
        <f>"7"</f>
        <v>7</v>
      </c>
      <c r="E789" t="str">
        <f>"102-32-7"</f>
        <v>102-32-7</v>
      </c>
      <c r="F789" t="s">
        <v>27</v>
      </c>
      <c r="G789" t="s">
        <v>28</v>
      </c>
      <c r="H789">
        <v>1</v>
      </c>
      <c r="Q789">
        <v>1</v>
      </c>
      <c r="R789">
        <v>0</v>
      </c>
      <c r="S789">
        <v>1</v>
      </c>
      <c r="T789">
        <v>0</v>
      </c>
      <c r="U789">
        <v>1</v>
      </c>
      <c r="V789">
        <v>0</v>
      </c>
    </row>
    <row r="790" spans="1:24" x14ac:dyDescent="0.25">
      <c r="A790" t="str">
        <f>"786"</f>
        <v>786</v>
      </c>
      <c r="B790" t="str">
        <f t="shared" si="43"/>
        <v>102</v>
      </c>
      <c r="C790" t="str">
        <f t="shared" si="44"/>
        <v>32</v>
      </c>
      <c r="D790" t="str">
        <f>"15"</f>
        <v>15</v>
      </c>
      <c r="E790" t="str">
        <f>"102-32-15"</f>
        <v>102-32-15</v>
      </c>
      <c r="F790" t="s">
        <v>27</v>
      </c>
      <c r="G790" t="s">
        <v>28</v>
      </c>
      <c r="H790">
        <v>1</v>
      </c>
      <c r="Q790">
        <v>0</v>
      </c>
      <c r="R790">
        <v>1</v>
      </c>
      <c r="S790">
        <v>0</v>
      </c>
      <c r="T790">
        <v>1</v>
      </c>
      <c r="U790">
        <v>1</v>
      </c>
      <c r="V790">
        <v>0</v>
      </c>
    </row>
    <row r="791" spans="1:24" x14ac:dyDescent="0.25">
      <c r="A791" t="str">
        <f>"787"</f>
        <v>787</v>
      </c>
      <c r="B791" t="str">
        <f t="shared" si="43"/>
        <v>102</v>
      </c>
      <c r="C791" t="str">
        <f t="shared" si="44"/>
        <v>32</v>
      </c>
      <c r="D791" t="str">
        <f>"24"</f>
        <v>24</v>
      </c>
      <c r="E791" t="str">
        <f>"102-32-24"</f>
        <v>102-32-24</v>
      </c>
      <c r="F791" t="s">
        <v>27</v>
      </c>
      <c r="G791" t="s">
        <v>28</v>
      </c>
      <c r="H791">
        <v>1</v>
      </c>
      <c r="Q791">
        <v>1</v>
      </c>
      <c r="R791">
        <v>0</v>
      </c>
      <c r="S791">
        <v>1</v>
      </c>
      <c r="T791">
        <v>0</v>
      </c>
      <c r="U791">
        <v>1</v>
      </c>
      <c r="V791">
        <v>0</v>
      </c>
    </row>
    <row r="792" spans="1:24" x14ac:dyDescent="0.25">
      <c r="A792" t="str">
        <f>"788"</f>
        <v>788</v>
      </c>
      <c r="B792" t="str">
        <f t="shared" si="43"/>
        <v>102</v>
      </c>
      <c r="C792" t="str">
        <f t="shared" si="44"/>
        <v>32</v>
      </c>
      <c r="D792" t="str">
        <f>"16"</f>
        <v>16</v>
      </c>
      <c r="E792" t="str">
        <f>"102-32-16"</f>
        <v>102-32-16</v>
      </c>
      <c r="F792" t="s">
        <v>27</v>
      </c>
      <c r="G792" t="s">
        <v>28</v>
      </c>
      <c r="H792">
        <v>1</v>
      </c>
      <c r="Q792">
        <v>1</v>
      </c>
      <c r="R792">
        <v>0</v>
      </c>
      <c r="S792">
        <v>1</v>
      </c>
      <c r="T792">
        <v>0</v>
      </c>
      <c r="U792">
        <v>1</v>
      </c>
      <c r="V792">
        <v>0</v>
      </c>
    </row>
    <row r="793" spans="1:24" x14ac:dyDescent="0.25">
      <c r="A793" t="str">
        <f>"789"</f>
        <v>789</v>
      </c>
      <c r="B793" t="str">
        <f t="shared" si="43"/>
        <v>102</v>
      </c>
      <c r="C793" t="str">
        <f t="shared" si="44"/>
        <v>32</v>
      </c>
      <c r="D793" t="str">
        <f>"6"</f>
        <v>6</v>
      </c>
      <c r="E793" t="str">
        <f>"102-32-6"</f>
        <v>102-32-6</v>
      </c>
      <c r="F793" t="s">
        <v>27</v>
      </c>
      <c r="G793" t="s">
        <v>28</v>
      </c>
      <c r="H793">
        <v>1</v>
      </c>
      <c r="Q793">
        <v>0</v>
      </c>
      <c r="R793">
        <v>1</v>
      </c>
      <c r="S793">
        <v>0</v>
      </c>
      <c r="T793">
        <v>1</v>
      </c>
      <c r="U793">
        <v>0</v>
      </c>
      <c r="V793">
        <v>1</v>
      </c>
    </row>
    <row r="794" spans="1:24" x14ac:dyDescent="0.25">
      <c r="A794" t="str">
        <f>"790"</f>
        <v>790</v>
      </c>
      <c r="B794" t="str">
        <f t="shared" si="43"/>
        <v>102</v>
      </c>
      <c r="C794" t="str">
        <f t="shared" si="44"/>
        <v>32</v>
      </c>
      <c r="D794" t="str">
        <f>"25"</f>
        <v>25</v>
      </c>
      <c r="E794" t="str">
        <f>"102-32-25"</f>
        <v>102-32-25</v>
      </c>
      <c r="F794" t="s">
        <v>27</v>
      </c>
      <c r="G794" t="s">
        <v>28</v>
      </c>
      <c r="H794">
        <v>1</v>
      </c>
      <c r="Q794">
        <v>1</v>
      </c>
      <c r="R794">
        <v>0</v>
      </c>
      <c r="S794">
        <v>1</v>
      </c>
      <c r="T794">
        <v>0</v>
      </c>
      <c r="U794">
        <v>1</v>
      </c>
      <c r="V794">
        <v>0</v>
      </c>
    </row>
    <row r="795" spans="1:24" x14ac:dyDescent="0.25">
      <c r="A795" t="str">
        <f>"791"</f>
        <v>791</v>
      </c>
      <c r="B795" t="str">
        <f t="shared" si="43"/>
        <v>102</v>
      </c>
      <c r="C795" t="str">
        <f t="shared" si="44"/>
        <v>32</v>
      </c>
      <c r="D795" t="str">
        <f>"17"</f>
        <v>17</v>
      </c>
      <c r="E795" t="str">
        <f>"102-32-17"</f>
        <v>102-32-17</v>
      </c>
      <c r="F795" t="s">
        <v>27</v>
      </c>
      <c r="G795" t="s">
        <v>28</v>
      </c>
      <c r="H795">
        <v>1</v>
      </c>
      <c r="Q795">
        <v>0</v>
      </c>
      <c r="R795">
        <v>1</v>
      </c>
      <c r="S795">
        <v>0</v>
      </c>
      <c r="T795">
        <v>1</v>
      </c>
      <c r="U795">
        <v>1</v>
      </c>
      <c r="V795">
        <v>0</v>
      </c>
    </row>
    <row r="796" spans="1:24" x14ac:dyDescent="0.25">
      <c r="A796" t="str">
        <f>"792"</f>
        <v>792</v>
      </c>
      <c r="B796" t="str">
        <f t="shared" si="43"/>
        <v>102</v>
      </c>
      <c r="C796" t="str">
        <f t="shared" si="44"/>
        <v>32</v>
      </c>
      <c r="D796" t="str">
        <f>"5"</f>
        <v>5</v>
      </c>
      <c r="E796" t="str">
        <f>"102-32-5"</f>
        <v>102-32-5</v>
      </c>
      <c r="F796" t="s">
        <v>27</v>
      </c>
      <c r="G796" t="s">
        <v>28</v>
      </c>
      <c r="H796">
        <v>1</v>
      </c>
      <c r="Q796">
        <v>0</v>
      </c>
      <c r="R796">
        <v>1</v>
      </c>
      <c r="S796">
        <v>0</v>
      </c>
      <c r="T796">
        <v>1</v>
      </c>
      <c r="U796">
        <v>0</v>
      </c>
      <c r="V796">
        <v>1</v>
      </c>
    </row>
    <row r="797" spans="1:24" x14ac:dyDescent="0.25">
      <c r="A797" t="str">
        <f>"793"</f>
        <v>793</v>
      </c>
      <c r="B797" t="str">
        <f t="shared" si="43"/>
        <v>102</v>
      </c>
      <c r="C797" t="str">
        <f t="shared" si="44"/>
        <v>32</v>
      </c>
      <c r="D797" t="str">
        <f>"18"</f>
        <v>18</v>
      </c>
      <c r="E797" t="str">
        <f>"102-32-18"</f>
        <v>102-32-18</v>
      </c>
      <c r="F797" t="s">
        <v>27</v>
      </c>
      <c r="G797" t="s">
        <v>30</v>
      </c>
      <c r="H797">
        <v>2</v>
      </c>
      <c r="I797">
        <v>0</v>
      </c>
      <c r="J797">
        <v>0</v>
      </c>
      <c r="K797">
        <v>0</v>
      </c>
      <c r="L797">
        <v>0</v>
      </c>
      <c r="Q797">
        <v>1</v>
      </c>
      <c r="R797">
        <v>0</v>
      </c>
      <c r="S797">
        <v>0</v>
      </c>
      <c r="T797">
        <v>1</v>
      </c>
      <c r="U797">
        <v>1</v>
      </c>
      <c r="V797">
        <v>0</v>
      </c>
      <c r="W797">
        <v>1</v>
      </c>
      <c r="X797">
        <v>0</v>
      </c>
    </row>
    <row r="798" spans="1:24" x14ac:dyDescent="0.25">
      <c r="A798" t="str">
        <f>"794"</f>
        <v>794</v>
      </c>
      <c r="B798" t="str">
        <f t="shared" si="43"/>
        <v>102</v>
      </c>
      <c r="C798" t="str">
        <f t="shared" si="44"/>
        <v>32</v>
      </c>
      <c r="D798" t="str">
        <f>"10"</f>
        <v>10</v>
      </c>
      <c r="E798" t="str">
        <f>"102-32-10"</f>
        <v>102-32-10</v>
      </c>
      <c r="F798" t="s">
        <v>27</v>
      </c>
      <c r="G798" t="s">
        <v>28</v>
      </c>
      <c r="H798">
        <v>1</v>
      </c>
      <c r="Q798">
        <v>0</v>
      </c>
      <c r="R798">
        <v>1</v>
      </c>
      <c r="S798">
        <v>0</v>
      </c>
      <c r="T798">
        <v>1</v>
      </c>
      <c r="U798">
        <v>0</v>
      </c>
      <c r="V798">
        <v>1</v>
      </c>
    </row>
    <row r="799" spans="1:24" x14ac:dyDescent="0.25">
      <c r="A799" t="str">
        <f>"795"</f>
        <v>795</v>
      </c>
      <c r="B799" t="str">
        <f t="shared" si="43"/>
        <v>102</v>
      </c>
      <c r="C799" t="str">
        <f t="shared" si="44"/>
        <v>32</v>
      </c>
      <c r="D799" t="str">
        <f>"19"</f>
        <v>19</v>
      </c>
      <c r="E799" t="str">
        <f>"102-32-19"</f>
        <v>102-32-19</v>
      </c>
      <c r="F799" t="s">
        <v>27</v>
      </c>
      <c r="G799" t="s">
        <v>28</v>
      </c>
      <c r="H799">
        <v>1</v>
      </c>
      <c r="Q799">
        <v>1</v>
      </c>
      <c r="R799">
        <v>0</v>
      </c>
      <c r="S799">
        <v>1</v>
      </c>
      <c r="T799">
        <v>0</v>
      </c>
      <c r="U799">
        <v>1</v>
      </c>
      <c r="V799">
        <v>0</v>
      </c>
    </row>
    <row r="800" spans="1:24" x14ac:dyDescent="0.25">
      <c r="A800" t="str">
        <f>"796"</f>
        <v>796</v>
      </c>
      <c r="B800" t="str">
        <f t="shared" si="43"/>
        <v>102</v>
      </c>
      <c r="C800" t="str">
        <f t="shared" si="44"/>
        <v>32</v>
      </c>
      <c r="D800" t="str">
        <f>"9"</f>
        <v>9</v>
      </c>
      <c r="E800" t="str">
        <f>"102-32-9"</f>
        <v>102-32-9</v>
      </c>
      <c r="F800" t="s">
        <v>27</v>
      </c>
      <c r="G800" t="s">
        <v>30</v>
      </c>
      <c r="H800">
        <v>2</v>
      </c>
      <c r="I800">
        <v>1</v>
      </c>
      <c r="J800">
        <v>1</v>
      </c>
      <c r="K800">
        <v>1</v>
      </c>
      <c r="L800">
        <v>1</v>
      </c>
      <c r="Q800">
        <v>1</v>
      </c>
      <c r="R800">
        <v>0</v>
      </c>
      <c r="S800">
        <v>1</v>
      </c>
      <c r="T800">
        <v>0</v>
      </c>
      <c r="U800">
        <v>0</v>
      </c>
      <c r="V800">
        <v>1</v>
      </c>
      <c r="W800">
        <v>0</v>
      </c>
      <c r="X800">
        <v>1</v>
      </c>
    </row>
    <row r="801" spans="1:24" x14ac:dyDescent="0.25">
      <c r="A801" t="str">
        <f>"797"</f>
        <v>797</v>
      </c>
      <c r="B801" t="str">
        <f t="shared" si="43"/>
        <v>102</v>
      </c>
      <c r="C801" t="str">
        <f t="shared" si="44"/>
        <v>32</v>
      </c>
      <c r="D801" t="str">
        <f>"20"</f>
        <v>20</v>
      </c>
      <c r="E801" t="str">
        <f>"102-32-20"</f>
        <v>102-32-20</v>
      </c>
      <c r="F801" t="s">
        <v>27</v>
      </c>
      <c r="G801" t="s">
        <v>28</v>
      </c>
      <c r="H801">
        <v>1</v>
      </c>
      <c r="Q801">
        <v>0</v>
      </c>
      <c r="R801">
        <v>1</v>
      </c>
      <c r="S801">
        <v>0</v>
      </c>
      <c r="T801">
        <v>1</v>
      </c>
      <c r="U801">
        <v>1</v>
      </c>
      <c r="V801">
        <v>0</v>
      </c>
    </row>
    <row r="802" spans="1:24" x14ac:dyDescent="0.25">
      <c r="A802" t="str">
        <f>"798"</f>
        <v>798</v>
      </c>
      <c r="B802" t="str">
        <f t="shared" si="43"/>
        <v>102</v>
      </c>
      <c r="C802" t="str">
        <f t="shared" si="44"/>
        <v>32</v>
      </c>
      <c r="D802" t="str">
        <f>"4"</f>
        <v>4</v>
      </c>
      <c r="E802" t="str">
        <f>"102-32-4"</f>
        <v>102-32-4</v>
      </c>
      <c r="F802" t="s">
        <v>27</v>
      </c>
      <c r="G802" t="s">
        <v>30</v>
      </c>
      <c r="H802">
        <v>2</v>
      </c>
      <c r="I802">
        <v>1</v>
      </c>
      <c r="J802">
        <v>1</v>
      </c>
      <c r="K802">
        <v>1</v>
      </c>
      <c r="L802">
        <v>1</v>
      </c>
      <c r="Q802">
        <v>1</v>
      </c>
      <c r="R802">
        <v>0</v>
      </c>
      <c r="S802">
        <v>1</v>
      </c>
      <c r="T802">
        <v>0</v>
      </c>
      <c r="U802">
        <v>1</v>
      </c>
      <c r="V802">
        <v>0</v>
      </c>
      <c r="W802">
        <v>1</v>
      </c>
      <c r="X802">
        <v>0</v>
      </c>
    </row>
    <row r="803" spans="1:24" x14ac:dyDescent="0.25">
      <c r="A803" t="str">
        <f>"799"</f>
        <v>799</v>
      </c>
      <c r="B803" t="str">
        <f t="shared" si="43"/>
        <v>102</v>
      </c>
      <c r="C803" t="str">
        <f t="shared" si="44"/>
        <v>32</v>
      </c>
      <c r="D803" t="str">
        <f>"8"</f>
        <v>8</v>
      </c>
      <c r="E803" t="str">
        <f>"102-32-8"</f>
        <v>102-32-8</v>
      </c>
      <c r="F803" t="s">
        <v>27</v>
      </c>
      <c r="G803" t="s">
        <v>28</v>
      </c>
      <c r="H803">
        <v>1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</row>
    <row r="804" spans="1:24" x14ac:dyDescent="0.25">
      <c r="A804" t="str">
        <f>"800"</f>
        <v>800</v>
      </c>
      <c r="B804" t="str">
        <f t="shared" si="43"/>
        <v>102</v>
      </c>
      <c r="C804" t="str">
        <f t="shared" si="44"/>
        <v>32</v>
      </c>
      <c r="D804" t="str">
        <f>"11"</f>
        <v>11</v>
      </c>
      <c r="E804" t="str">
        <f>"102-32-11"</f>
        <v>102-32-11</v>
      </c>
      <c r="F804" t="s">
        <v>27</v>
      </c>
      <c r="G804" t="s">
        <v>28</v>
      </c>
      <c r="H804">
        <v>1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</row>
    <row r="805" spans="1:24" x14ac:dyDescent="0.25">
      <c r="A805" t="str">
        <f>"801"</f>
        <v>801</v>
      </c>
      <c r="B805" t="str">
        <f t="shared" si="43"/>
        <v>102</v>
      </c>
      <c r="C805" t="str">
        <f t="shared" ref="C805:C829" si="45">"33"</f>
        <v>33</v>
      </c>
      <c r="D805" t="str">
        <f>"22"</f>
        <v>22</v>
      </c>
      <c r="E805" t="str">
        <f>"102-33-22"</f>
        <v>102-33-22</v>
      </c>
      <c r="F805" t="s">
        <v>27</v>
      </c>
      <c r="G805" t="s">
        <v>28</v>
      </c>
      <c r="H805">
        <v>1</v>
      </c>
      <c r="Q805">
        <v>0</v>
      </c>
      <c r="R805">
        <v>1</v>
      </c>
      <c r="S805">
        <v>0</v>
      </c>
      <c r="T805">
        <v>1</v>
      </c>
      <c r="U805">
        <v>0</v>
      </c>
      <c r="V805">
        <v>1</v>
      </c>
    </row>
    <row r="806" spans="1:24" x14ac:dyDescent="0.25">
      <c r="A806" t="str">
        <f>"802"</f>
        <v>802</v>
      </c>
      <c r="B806" t="str">
        <f t="shared" si="43"/>
        <v>102</v>
      </c>
      <c r="C806" t="str">
        <f t="shared" si="45"/>
        <v>33</v>
      </c>
      <c r="D806" t="str">
        <f>"11"</f>
        <v>11</v>
      </c>
      <c r="E806" t="str">
        <f>"102-33-11"</f>
        <v>102-33-11</v>
      </c>
      <c r="F806" t="s">
        <v>27</v>
      </c>
      <c r="G806" t="s">
        <v>28</v>
      </c>
      <c r="H806">
        <v>1</v>
      </c>
      <c r="Q806">
        <v>0</v>
      </c>
      <c r="R806">
        <v>1</v>
      </c>
      <c r="S806">
        <v>0</v>
      </c>
      <c r="T806">
        <v>1</v>
      </c>
      <c r="U806">
        <v>0</v>
      </c>
      <c r="V806">
        <v>1</v>
      </c>
    </row>
    <row r="807" spans="1:24" x14ac:dyDescent="0.25">
      <c r="A807" t="str">
        <f>"803"</f>
        <v>803</v>
      </c>
      <c r="B807" t="str">
        <f t="shared" si="43"/>
        <v>102</v>
      </c>
      <c r="C807" t="str">
        <f t="shared" si="45"/>
        <v>33</v>
      </c>
      <c r="D807" t="str">
        <f>"2"</f>
        <v>2</v>
      </c>
      <c r="E807" t="str">
        <f>"102-33-2"</f>
        <v>102-33-2</v>
      </c>
      <c r="F807" t="s">
        <v>27</v>
      </c>
      <c r="G807" t="s">
        <v>28</v>
      </c>
      <c r="H807">
        <v>1</v>
      </c>
      <c r="Q807">
        <v>1</v>
      </c>
      <c r="R807">
        <v>0</v>
      </c>
      <c r="S807">
        <v>1</v>
      </c>
      <c r="T807">
        <v>0</v>
      </c>
      <c r="U807">
        <v>1</v>
      </c>
      <c r="V807">
        <v>0</v>
      </c>
    </row>
    <row r="808" spans="1:24" x14ac:dyDescent="0.25">
      <c r="A808" t="str">
        <f>"804"</f>
        <v>804</v>
      </c>
      <c r="B808" t="str">
        <f t="shared" si="43"/>
        <v>102</v>
      </c>
      <c r="C808" t="str">
        <f t="shared" si="45"/>
        <v>33</v>
      </c>
      <c r="D808" t="str">
        <f>"21"</f>
        <v>21</v>
      </c>
      <c r="E808" t="str">
        <f>"102-33-21"</f>
        <v>102-33-21</v>
      </c>
      <c r="F808" t="s">
        <v>27</v>
      </c>
      <c r="G808" t="s">
        <v>28</v>
      </c>
      <c r="H808">
        <v>1</v>
      </c>
      <c r="Q808">
        <v>1</v>
      </c>
      <c r="R808">
        <v>0</v>
      </c>
      <c r="S808">
        <v>1</v>
      </c>
      <c r="T808">
        <v>0</v>
      </c>
      <c r="U808">
        <v>0</v>
      </c>
      <c r="V808">
        <v>1</v>
      </c>
    </row>
    <row r="809" spans="1:24" x14ac:dyDescent="0.25">
      <c r="A809" t="str">
        <f>"805"</f>
        <v>805</v>
      </c>
      <c r="B809" t="str">
        <f t="shared" si="43"/>
        <v>102</v>
      </c>
      <c r="C809" t="str">
        <f t="shared" si="45"/>
        <v>33</v>
      </c>
      <c r="D809" t="str">
        <f>"12"</f>
        <v>12</v>
      </c>
      <c r="E809" t="str">
        <f>"102-33-12"</f>
        <v>102-33-12</v>
      </c>
      <c r="F809" t="s">
        <v>27</v>
      </c>
      <c r="G809" t="s">
        <v>28</v>
      </c>
      <c r="H809">
        <v>1</v>
      </c>
      <c r="Q809">
        <v>1</v>
      </c>
      <c r="R809">
        <v>0</v>
      </c>
      <c r="S809">
        <v>1</v>
      </c>
      <c r="T809">
        <v>0</v>
      </c>
      <c r="U809">
        <v>1</v>
      </c>
      <c r="V809">
        <v>0</v>
      </c>
    </row>
    <row r="810" spans="1:24" x14ac:dyDescent="0.25">
      <c r="A810" t="str">
        <f>"806"</f>
        <v>806</v>
      </c>
      <c r="B810" t="str">
        <f t="shared" si="43"/>
        <v>102</v>
      </c>
      <c r="C810" t="str">
        <f t="shared" si="45"/>
        <v>33</v>
      </c>
      <c r="D810" t="str">
        <f>"8"</f>
        <v>8</v>
      </c>
      <c r="E810" t="str">
        <f>"102-33-8"</f>
        <v>102-33-8</v>
      </c>
      <c r="F810" t="s">
        <v>27</v>
      </c>
      <c r="G810" t="s">
        <v>28</v>
      </c>
      <c r="H810">
        <v>1</v>
      </c>
      <c r="Q810">
        <v>0</v>
      </c>
      <c r="R810">
        <v>1</v>
      </c>
      <c r="S810">
        <v>0</v>
      </c>
      <c r="T810">
        <v>1</v>
      </c>
      <c r="U810">
        <v>0</v>
      </c>
      <c r="V810">
        <v>1</v>
      </c>
    </row>
    <row r="811" spans="1:24" x14ac:dyDescent="0.25">
      <c r="A811" t="str">
        <f>"807"</f>
        <v>807</v>
      </c>
      <c r="B811" t="str">
        <f t="shared" si="43"/>
        <v>102</v>
      </c>
      <c r="C811" t="str">
        <f t="shared" si="45"/>
        <v>33</v>
      </c>
      <c r="D811" t="str">
        <f>"23"</f>
        <v>23</v>
      </c>
      <c r="E811" t="str">
        <f>"102-33-23"</f>
        <v>102-33-23</v>
      </c>
      <c r="F811" t="s">
        <v>27</v>
      </c>
      <c r="G811" t="s">
        <v>28</v>
      </c>
      <c r="H811">
        <v>1</v>
      </c>
      <c r="Q811">
        <v>0</v>
      </c>
      <c r="R811">
        <v>1</v>
      </c>
      <c r="S811">
        <v>0</v>
      </c>
      <c r="T811">
        <v>1</v>
      </c>
      <c r="U811">
        <v>0</v>
      </c>
      <c r="V811">
        <v>1</v>
      </c>
    </row>
    <row r="812" spans="1:24" x14ac:dyDescent="0.25">
      <c r="A812" t="str">
        <f>"808"</f>
        <v>808</v>
      </c>
      <c r="B812" t="str">
        <f t="shared" si="43"/>
        <v>102</v>
      </c>
      <c r="C812" t="str">
        <f t="shared" si="45"/>
        <v>33</v>
      </c>
      <c r="D812" t="str">
        <f>"13"</f>
        <v>13</v>
      </c>
      <c r="E812" t="str">
        <f>"102-33-13"</f>
        <v>102-33-13</v>
      </c>
      <c r="F812" t="s">
        <v>27</v>
      </c>
      <c r="G812" t="s">
        <v>28</v>
      </c>
      <c r="H812">
        <v>1</v>
      </c>
      <c r="Q812">
        <v>0</v>
      </c>
      <c r="R812">
        <v>1</v>
      </c>
      <c r="S812">
        <v>0</v>
      </c>
      <c r="T812">
        <v>1</v>
      </c>
      <c r="U812">
        <v>0</v>
      </c>
      <c r="V812">
        <v>1</v>
      </c>
    </row>
    <row r="813" spans="1:24" x14ac:dyDescent="0.25">
      <c r="A813" t="str">
        <f>"809"</f>
        <v>809</v>
      </c>
      <c r="B813" t="str">
        <f t="shared" si="43"/>
        <v>102</v>
      </c>
      <c r="C813" t="str">
        <f t="shared" si="45"/>
        <v>33</v>
      </c>
      <c r="D813" t="str">
        <f>"3"</f>
        <v>3</v>
      </c>
      <c r="E813" t="str">
        <f>"102-33-3"</f>
        <v>102-33-3</v>
      </c>
      <c r="F813" t="s">
        <v>27</v>
      </c>
      <c r="G813" t="s">
        <v>28</v>
      </c>
      <c r="H813">
        <v>1</v>
      </c>
      <c r="Q813">
        <v>1</v>
      </c>
      <c r="R813">
        <v>0</v>
      </c>
      <c r="S813">
        <v>1</v>
      </c>
      <c r="T813">
        <v>0</v>
      </c>
      <c r="U813">
        <v>0</v>
      </c>
      <c r="V813">
        <v>1</v>
      </c>
    </row>
    <row r="814" spans="1:24" x14ac:dyDescent="0.25">
      <c r="A814" t="str">
        <f>"810"</f>
        <v>810</v>
      </c>
      <c r="B814" t="str">
        <f t="shared" si="43"/>
        <v>102</v>
      </c>
      <c r="C814" t="str">
        <f t="shared" si="45"/>
        <v>33</v>
      </c>
      <c r="D814" t="str">
        <f>"25"</f>
        <v>25</v>
      </c>
      <c r="E814" t="str">
        <f>"102-33-25"</f>
        <v>102-33-25</v>
      </c>
      <c r="F814" t="s">
        <v>27</v>
      </c>
      <c r="G814" t="s">
        <v>28</v>
      </c>
      <c r="H814">
        <v>1</v>
      </c>
      <c r="Q814">
        <v>1</v>
      </c>
      <c r="R814">
        <v>0</v>
      </c>
      <c r="S814">
        <v>1</v>
      </c>
      <c r="T814">
        <v>0</v>
      </c>
      <c r="U814">
        <v>1</v>
      </c>
      <c r="V814">
        <v>0</v>
      </c>
    </row>
    <row r="815" spans="1:24" x14ac:dyDescent="0.25">
      <c r="A815" t="str">
        <f>"811"</f>
        <v>811</v>
      </c>
      <c r="B815" t="str">
        <f t="shared" si="43"/>
        <v>102</v>
      </c>
      <c r="C815" t="str">
        <f t="shared" si="45"/>
        <v>33</v>
      </c>
      <c r="D815" t="str">
        <f>"14"</f>
        <v>14</v>
      </c>
      <c r="E815" t="str">
        <f>"102-33-14"</f>
        <v>102-33-14</v>
      </c>
      <c r="F815" t="s">
        <v>27</v>
      </c>
      <c r="G815" t="s">
        <v>28</v>
      </c>
      <c r="H815">
        <v>1</v>
      </c>
      <c r="Q815">
        <v>1</v>
      </c>
      <c r="R815">
        <v>0</v>
      </c>
      <c r="S815">
        <v>1</v>
      </c>
      <c r="T815">
        <v>0</v>
      </c>
      <c r="U815">
        <v>0</v>
      </c>
      <c r="V815">
        <v>1</v>
      </c>
    </row>
    <row r="816" spans="1:24" x14ac:dyDescent="0.25">
      <c r="A816" t="str">
        <f>"812"</f>
        <v>812</v>
      </c>
      <c r="B816" t="str">
        <f t="shared" si="43"/>
        <v>102</v>
      </c>
      <c r="C816" t="str">
        <f t="shared" si="45"/>
        <v>33</v>
      </c>
      <c r="D816" t="str">
        <f>"5"</f>
        <v>5</v>
      </c>
      <c r="E816" t="str">
        <f>"102-33-5"</f>
        <v>102-33-5</v>
      </c>
      <c r="F816" t="s">
        <v>27</v>
      </c>
      <c r="G816" t="s">
        <v>28</v>
      </c>
      <c r="H816">
        <v>1</v>
      </c>
      <c r="Q816">
        <v>1</v>
      </c>
      <c r="R816">
        <v>0</v>
      </c>
      <c r="S816">
        <v>1</v>
      </c>
      <c r="T816">
        <v>0</v>
      </c>
      <c r="U816">
        <v>1</v>
      </c>
      <c r="V816">
        <v>0</v>
      </c>
    </row>
    <row r="817" spans="1:22" x14ac:dyDescent="0.25">
      <c r="A817" t="str">
        <f>"813"</f>
        <v>813</v>
      </c>
      <c r="B817" t="str">
        <f t="shared" si="43"/>
        <v>102</v>
      </c>
      <c r="C817" t="str">
        <f t="shared" si="45"/>
        <v>33</v>
      </c>
      <c r="D817" t="str">
        <f>"15"</f>
        <v>15</v>
      </c>
      <c r="E817" t="str">
        <f>"102-33-15"</f>
        <v>102-33-15</v>
      </c>
      <c r="F817" t="s">
        <v>27</v>
      </c>
      <c r="G817" t="s">
        <v>28</v>
      </c>
      <c r="H817">
        <v>1</v>
      </c>
      <c r="Q817">
        <v>0</v>
      </c>
      <c r="R817">
        <v>1</v>
      </c>
      <c r="S817">
        <v>0</v>
      </c>
      <c r="T817">
        <v>1</v>
      </c>
      <c r="U817">
        <v>0</v>
      </c>
      <c r="V817">
        <v>1</v>
      </c>
    </row>
    <row r="818" spans="1:22" x14ac:dyDescent="0.25">
      <c r="A818" t="str">
        <f>"814"</f>
        <v>814</v>
      </c>
      <c r="B818" t="str">
        <f t="shared" si="43"/>
        <v>102</v>
      </c>
      <c r="C818" t="str">
        <f t="shared" si="45"/>
        <v>33</v>
      </c>
      <c r="D818" t="str">
        <f>"1"</f>
        <v>1</v>
      </c>
      <c r="E818" t="str">
        <f>"102-33-1"</f>
        <v>102-33-1</v>
      </c>
      <c r="F818" t="s">
        <v>27</v>
      </c>
      <c r="G818" t="s">
        <v>28</v>
      </c>
      <c r="H818">
        <v>1</v>
      </c>
      <c r="Q818">
        <v>0</v>
      </c>
      <c r="R818">
        <v>1</v>
      </c>
      <c r="S818">
        <v>0</v>
      </c>
      <c r="T818">
        <v>1</v>
      </c>
      <c r="U818">
        <v>1</v>
      </c>
      <c r="V818">
        <v>0</v>
      </c>
    </row>
    <row r="819" spans="1:22" x14ac:dyDescent="0.25">
      <c r="A819" t="str">
        <f>"815"</f>
        <v>815</v>
      </c>
      <c r="B819" t="str">
        <f t="shared" si="43"/>
        <v>102</v>
      </c>
      <c r="C819" t="str">
        <f t="shared" si="45"/>
        <v>33</v>
      </c>
      <c r="D819" t="str">
        <f>"16"</f>
        <v>16</v>
      </c>
      <c r="E819" t="str">
        <f>"102-33-16"</f>
        <v>102-33-16</v>
      </c>
      <c r="F819" t="s">
        <v>27</v>
      </c>
      <c r="G819" t="s">
        <v>28</v>
      </c>
      <c r="H819">
        <v>1</v>
      </c>
      <c r="Q819">
        <v>1</v>
      </c>
      <c r="R819">
        <v>0</v>
      </c>
      <c r="S819">
        <v>1</v>
      </c>
      <c r="T819">
        <v>0</v>
      </c>
      <c r="U819">
        <v>1</v>
      </c>
      <c r="V819">
        <v>0</v>
      </c>
    </row>
    <row r="820" spans="1:22" x14ac:dyDescent="0.25">
      <c r="A820" t="str">
        <f>"816"</f>
        <v>816</v>
      </c>
      <c r="B820" t="str">
        <f t="shared" si="43"/>
        <v>102</v>
      </c>
      <c r="C820" t="str">
        <f t="shared" si="45"/>
        <v>33</v>
      </c>
      <c r="D820" t="str">
        <f>"6"</f>
        <v>6</v>
      </c>
      <c r="E820" t="str">
        <f>"102-33-6"</f>
        <v>102-33-6</v>
      </c>
      <c r="F820" t="s">
        <v>27</v>
      </c>
      <c r="G820" t="s">
        <v>28</v>
      </c>
      <c r="H820">
        <v>1</v>
      </c>
      <c r="Q820">
        <v>1</v>
      </c>
      <c r="R820">
        <v>0</v>
      </c>
      <c r="S820">
        <v>1</v>
      </c>
      <c r="T820">
        <v>0</v>
      </c>
      <c r="U820">
        <v>1</v>
      </c>
      <c r="V820">
        <v>0</v>
      </c>
    </row>
    <row r="821" spans="1:22" x14ac:dyDescent="0.25">
      <c r="A821" t="str">
        <f>"817"</f>
        <v>817</v>
      </c>
      <c r="B821" t="str">
        <f t="shared" si="43"/>
        <v>102</v>
      </c>
      <c r="C821" t="str">
        <f t="shared" si="45"/>
        <v>33</v>
      </c>
      <c r="D821" t="str">
        <f>"17"</f>
        <v>17</v>
      </c>
      <c r="E821" t="str">
        <f>"102-33-17"</f>
        <v>102-33-17</v>
      </c>
      <c r="F821" t="s">
        <v>27</v>
      </c>
      <c r="G821" t="s">
        <v>28</v>
      </c>
      <c r="H821">
        <v>1</v>
      </c>
      <c r="Q821">
        <v>0</v>
      </c>
      <c r="R821">
        <v>1</v>
      </c>
      <c r="S821">
        <v>0</v>
      </c>
      <c r="T821">
        <v>1</v>
      </c>
      <c r="U821">
        <v>0</v>
      </c>
      <c r="V821">
        <v>1</v>
      </c>
    </row>
    <row r="822" spans="1:22" x14ac:dyDescent="0.25">
      <c r="A822" t="str">
        <f>"818"</f>
        <v>818</v>
      </c>
      <c r="B822" t="str">
        <f t="shared" si="43"/>
        <v>102</v>
      </c>
      <c r="C822" t="str">
        <f t="shared" si="45"/>
        <v>33</v>
      </c>
      <c r="D822" t="str">
        <f>"4"</f>
        <v>4</v>
      </c>
      <c r="E822" t="str">
        <f>"102-33-4"</f>
        <v>102-33-4</v>
      </c>
      <c r="F822" t="s">
        <v>27</v>
      </c>
      <c r="G822" t="s">
        <v>28</v>
      </c>
      <c r="H822">
        <v>1</v>
      </c>
      <c r="Q822">
        <v>0</v>
      </c>
      <c r="R822">
        <v>1</v>
      </c>
      <c r="S822">
        <v>1</v>
      </c>
      <c r="T822">
        <v>0</v>
      </c>
      <c r="U822">
        <v>0</v>
      </c>
      <c r="V822">
        <v>1</v>
      </c>
    </row>
    <row r="823" spans="1:22" x14ac:dyDescent="0.25">
      <c r="A823" t="str">
        <f>"819"</f>
        <v>819</v>
      </c>
      <c r="B823" t="str">
        <f t="shared" si="43"/>
        <v>102</v>
      </c>
      <c r="C823" t="str">
        <f t="shared" si="45"/>
        <v>33</v>
      </c>
      <c r="D823" t="str">
        <f>"24"</f>
        <v>24</v>
      </c>
      <c r="E823" t="str">
        <f>"102-33-24"</f>
        <v>102-33-24</v>
      </c>
      <c r="F823" t="s">
        <v>27</v>
      </c>
      <c r="G823" t="s">
        <v>28</v>
      </c>
      <c r="H823">
        <v>1</v>
      </c>
      <c r="Q823">
        <v>0</v>
      </c>
      <c r="R823">
        <v>1</v>
      </c>
      <c r="S823">
        <v>0</v>
      </c>
      <c r="T823">
        <v>1</v>
      </c>
      <c r="U823">
        <v>0</v>
      </c>
      <c r="V823">
        <v>1</v>
      </c>
    </row>
    <row r="824" spans="1:22" x14ac:dyDescent="0.25">
      <c r="A824" t="str">
        <f>"820"</f>
        <v>820</v>
      </c>
      <c r="B824" t="str">
        <f t="shared" si="43"/>
        <v>102</v>
      </c>
      <c r="C824" t="str">
        <f t="shared" si="45"/>
        <v>33</v>
      </c>
      <c r="D824" t="str">
        <f>"18"</f>
        <v>18</v>
      </c>
      <c r="E824" t="str">
        <f>"102-33-18"</f>
        <v>102-33-18</v>
      </c>
      <c r="F824" t="s">
        <v>27</v>
      </c>
      <c r="G824" t="s">
        <v>28</v>
      </c>
      <c r="H824">
        <v>1</v>
      </c>
      <c r="Q824">
        <v>0</v>
      </c>
      <c r="R824">
        <v>1</v>
      </c>
      <c r="S824">
        <v>0</v>
      </c>
      <c r="T824">
        <v>1</v>
      </c>
      <c r="U824">
        <v>0</v>
      </c>
      <c r="V824">
        <v>1</v>
      </c>
    </row>
    <row r="825" spans="1:22" x14ac:dyDescent="0.25">
      <c r="A825" t="str">
        <f>"821"</f>
        <v>821</v>
      </c>
      <c r="B825" t="str">
        <f t="shared" si="43"/>
        <v>102</v>
      </c>
      <c r="C825" t="str">
        <f t="shared" si="45"/>
        <v>33</v>
      </c>
      <c r="D825" t="str">
        <f>"9"</f>
        <v>9</v>
      </c>
      <c r="E825" t="str">
        <f>"102-33-9"</f>
        <v>102-33-9</v>
      </c>
      <c r="F825" t="s">
        <v>27</v>
      </c>
      <c r="G825" t="s">
        <v>28</v>
      </c>
      <c r="H825">
        <v>1</v>
      </c>
      <c r="Q825">
        <v>0</v>
      </c>
      <c r="R825">
        <v>1</v>
      </c>
      <c r="S825">
        <v>0</v>
      </c>
      <c r="T825">
        <v>1</v>
      </c>
      <c r="U825">
        <v>0</v>
      </c>
      <c r="V825">
        <v>1</v>
      </c>
    </row>
    <row r="826" spans="1:22" x14ac:dyDescent="0.25">
      <c r="A826" t="str">
        <f>"822"</f>
        <v>822</v>
      </c>
      <c r="B826" t="str">
        <f t="shared" si="43"/>
        <v>102</v>
      </c>
      <c r="C826" t="str">
        <f t="shared" si="45"/>
        <v>33</v>
      </c>
      <c r="D826" t="str">
        <f>"19"</f>
        <v>19</v>
      </c>
      <c r="E826" t="str">
        <f>"102-33-19"</f>
        <v>102-33-19</v>
      </c>
      <c r="F826" t="s">
        <v>27</v>
      </c>
      <c r="G826" t="s">
        <v>28</v>
      </c>
      <c r="H826">
        <v>1</v>
      </c>
      <c r="Q826">
        <v>0</v>
      </c>
      <c r="R826">
        <v>1</v>
      </c>
      <c r="S826">
        <v>0</v>
      </c>
      <c r="T826">
        <v>1</v>
      </c>
      <c r="U826">
        <v>0</v>
      </c>
      <c r="V826">
        <v>1</v>
      </c>
    </row>
    <row r="827" spans="1:22" x14ac:dyDescent="0.25">
      <c r="A827" t="str">
        <f>"823"</f>
        <v>823</v>
      </c>
      <c r="B827" t="str">
        <f t="shared" si="43"/>
        <v>102</v>
      </c>
      <c r="C827" t="str">
        <f t="shared" si="45"/>
        <v>33</v>
      </c>
      <c r="D827" t="str">
        <f>"10"</f>
        <v>10</v>
      </c>
      <c r="E827" t="str">
        <f>"102-33-10"</f>
        <v>102-33-10</v>
      </c>
      <c r="F827" t="s">
        <v>27</v>
      </c>
      <c r="G827" t="s">
        <v>28</v>
      </c>
      <c r="H827">
        <v>1</v>
      </c>
      <c r="Q827">
        <v>0</v>
      </c>
      <c r="R827">
        <v>1</v>
      </c>
      <c r="S827">
        <v>0</v>
      </c>
      <c r="T827">
        <v>1</v>
      </c>
      <c r="U827">
        <v>1</v>
      </c>
      <c r="V827">
        <v>0</v>
      </c>
    </row>
    <row r="828" spans="1:22" x14ac:dyDescent="0.25">
      <c r="A828" t="str">
        <f>"824"</f>
        <v>824</v>
      </c>
      <c r="B828" t="str">
        <f t="shared" si="43"/>
        <v>102</v>
      </c>
      <c r="C828" t="str">
        <f t="shared" si="45"/>
        <v>33</v>
      </c>
      <c r="D828" t="str">
        <f>"7"</f>
        <v>7</v>
      </c>
      <c r="E828" t="str">
        <f>"102-33-7"</f>
        <v>102-33-7</v>
      </c>
      <c r="F828" t="s">
        <v>27</v>
      </c>
      <c r="G828" t="s">
        <v>28</v>
      </c>
      <c r="H828">
        <v>1</v>
      </c>
      <c r="Q828">
        <v>0</v>
      </c>
      <c r="R828">
        <v>1</v>
      </c>
      <c r="S828">
        <v>0</v>
      </c>
      <c r="T828">
        <v>1</v>
      </c>
      <c r="U828">
        <v>0</v>
      </c>
      <c r="V828">
        <v>1</v>
      </c>
    </row>
    <row r="829" spans="1:22" x14ac:dyDescent="0.25">
      <c r="A829" t="str">
        <f>"825"</f>
        <v>825</v>
      </c>
      <c r="B829" t="str">
        <f t="shared" si="43"/>
        <v>102</v>
      </c>
      <c r="C829" t="str">
        <f t="shared" si="45"/>
        <v>33</v>
      </c>
      <c r="D829" t="str">
        <f>"20"</f>
        <v>20</v>
      </c>
      <c r="E829" t="str">
        <f>"102-33-20"</f>
        <v>102-33-20</v>
      </c>
      <c r="F829" t="s">
        <v>27</v>
      </c>
      <c r="G829" t="s">
        <v>28</v>
      </c>
      <c r="H829">
        <v>1</v>
      </c>
      <c r="Q829">
        <v>1</v>
      </c>
      <c r="R829">
        <v>0</v>
      </c>
      <c r="S829">
        <v>0</v>
      </c>
      <c r="T829">
        <v>0</v>
      </c>
      <c r="U829">
        <v>1</v>
      </c>
      <c r="V829">
        <v>0</v>
      </c>
    </row>
    <row r="830" spans="1:22" x14ac:dyDescent="0.25">
      <c r="A830" t="str">
        <f>"826"</f>
        <v>826</v>
      </c>
      <c r="B830" t="str">
        <f t="shared" si="43"/>
        <v>102</v>
      </c>
      <c r="C830" t="str">
        <f t="shared" ref="C830:C854" si="46">"34"</f>
        <v>34</v>
      </c>
      <c r="D830" t="str">
        <f>"22"</f>
        <v>22</v>
      </c>
      <c r="E830" t="str">
        <f>"102-34-22"</f>
        <v>102-34-22</v>
      </c>
      <c r="F830" t="s">
        <v>27</v>
      </c>
      <c r="G830" t="s">
        <v>28</v>
      </c>
      <c r="H830">
        <v>1</v>
      </c>
      <c r="Q830">
        <v>0</v>
      </c>
      <c r="R830">
        <v>1</v>
      </c>
      <c r="S830">
        <v>0</v>
      </c>
      <c r="T830">
        <v>1</v>
      </c>
      <c r="U830">
        <v>0</v>
      </c>
      <c r="V830">
        <v>1</v>
      </c>
    </row>
    <row r="831" spans="1:22" x14ac:dyDescent="0.25">
      <c r="A831" t="str">
        <f>"827"</f>
        <v>827</v>
      </c>
      <c r="B831" t="str">
        <f t="shared" si="43"/>
        <v>102</v>
      </c>
      <c r="C831" t="str">
        <f t="shared" si="46"/>
        <v>34</v>
      </c>
      <c r="D831" t="str">
        <f>"11"</f>
        <v>11</v>
      </c>
      <c r="E831" t="str">
        <f>"102-34-11"</f>
        <v>102-34-11</v>
      </c>
      <c r="F831" t="s">
        <v>27</v>
      </c>
      <c r="G831" t="s">
        <v>28</v>
      </c>
      <c r="H831">
        <v>1</v>
      </c>
      <c r="Q831">
        <v>0</v>
      </c>
      <c r="R831">
        <v>1</v>
      </c>
      <c r="S831">
        <v>0</v>
      </c>
      <c r="T831">
        <v>1</v>
      </c>
      <c r="U831">
        <v>0</v>
      </c>
      <c r="V831">
        <v>1</v>
      </c>
    </row>
    <row r="832" spans="1:22" x14ac:dyDescent="0.25">
      <c r="A832" t="str">
        <f>"828"</f>
        <v>828</v>
      </c>
      <c r="B832" t="str">
        <f t="shared" si="43"/>
        <v>102</v>
      </c>
      <c r="C832" t="str">
        <f t="shared" si="46"/>
        <v>34</v>
      </c>
      <c r="D832" t="str">
        <f>"1"</f>
        <v>1</v>
      </c>
      <c r="E832" t="str">
        <f>"102-34-1"</f>
        <v>102-34-1</v>
      </c>
      <c r="F832" t="s">
        <v>27</v>
      </c>
      <c r="G832" t="s">
        <v>28</v>
      </c>
      <c r="H832">
        <v>1</v>
      </c>
      <c r="Q832">
        <v>1</v>
      </c>
      <c r="R832">
        <v>0</v>
      </c>
      <c r="S832">
        <v>0</v>
      </c>
      <c r="T832">
        <v>1</v>
      </c>
      <c r="U832">
        <v>1</v>
      </c>
      <c r="V832">
        <v>0</v>
      </c>
    </row>
    <row r="833" spans="1:22" x14ac:dyDescent="0.25">
      <c r="A833" t="str">
        <f>"829"</f>
        <v>829</v>
      </c>
      <c r="B833" t="str">
        <f t="shared" si="43"/>
        <v>102</v>
      </c>
      <c r="C833" t="str">
        <f t="shared" si="46"/>
        <v>34</v>
      </c>
      <c r="D833" t="str">
        <f>"25"</f>
        <v>25</v>
      </c>
      <c r="E833" t="str">
        <f>"102-34-25"</f>
        <v>102-34-25</v>
      </c>
      <c r="F833" t="s">
        <v>27</v>
      </c>
      <c r="G833" t="s">
        <v>28</v>
      </c>
      <c r="H833">
        <v>1</v>
      </c>
      <c r="Q833">
        <v>0</v>
      </c>
      <c r="R833">
        <v>1</v>
      </c>
      <c r="S833">
        <v>0</v>
      </c>
      <c r="T833">
        <v>1</v>
      </c>
      <c r="U833">
        <v>0</v>
      </c>
      <c r="V833">
        <v>1</v>
      </c>
    </row>
    <row r="834" spans="1:22" x14ac:dyDescent="0.25">
      <c r="A834" t="str">
        <f>"830"</f>
        <v>830</v>
      </c>
      <c r="B834" t="str">
        <f t="shared" si="43"/>
        <v>102</v>
      </c>
      <c r="C834" t="str">
        <f t="shared" si="46"/>
        <v>34</v>
      </c>
      <c r="D834" t="str">
        <f>"24"</f>
        <v>24</v>
      </c>
      <c r="E834" t="str">
        <f>"102-34-24"</f>
        <v>102-34-24</v>
      </c>
      <c r="F834" t="s">
        <v>27</v>
      </c>
      <c r="G834" t="s">
        <v>28</v>
      </c>
      <c r="H834">
        <v>1</v>
      </c>
      <c r="Q834">
        <v>0</v>
      </c>
      <c r="R834">
        <v>1</v>
      </c>
      <c r="S834">
        <v>0</v>
      </c>
      <c r="T834">
        <v>1</v>
      </c>
      <c r="U834">
        <v>0</v>
      </c>
      <c r="V834">
        <v>1</v>
      </c>
    </row>
    <row r="835" spans="1:22" x14ac:dyDescent="0.25">
      <c r="A835" t="str">
        <f>"831"</f>
        <v>831</v>
      </c>
      <c r="B835" t="str">
        <f t="shared" si="43"/>
        <v>102</v>
      </c>
      <c r="C835" t="str">
        <f t="shared" si="46"/>
        <v>34</v>
      </c>
      <c r="D835" t="str">
        <f>"18"</f>
        <v>18</v>
      </c>
      <c r="E835" t="str">
        <f>"102-34-18"</f>
        <v>102-34-18</v>
      </c>
      <c r="F835" t="s">
        <v>27</v>
      </c>
      <c r="G835" t="s">
        <v>28</v>
      </c>
      <c r="H835">
        <v>1</v>
      </c>
      <c r="Q835">
        <v>1</v>
      </c>
      <c r="R835">
        <v>0</v>
      </c>
      <c r="S835">
        <v>1</v>
      </c>
      <c r="T835">
        <v>0</v>
      </c>
      <c r="U835">
        <v>1</v>
      </c>
      <c r="V835">
        <v>0</v>
      </c>
    </row>
    <row r="836" spans="1:22" x14ac:dyDescent="0.25">
      <c r="A836" t="str">
        <f>"832"</f>
        <v>832</v>
      </c>
      <c r="B836" t="str">
        <f t="shared" si="43"/>
        <v>102</v>
      </c>
      <c r="C836" t="str">
        <f t="shared" si="46"/>
        <v>34</v>
      </c>
      <c r="D836" t="str">
        <f>"12"</f>
        <v>12</v>
      </c>
      <c r="E836" t="str">
        <f>"102-34-12"</f>
        <v>102-34-12</v>
      </c>
      <c r="F836" t="s">
        <v>27</v>
      </c>
      <c r="G836" t="s">
        <v>28</v>
      </c>
      <c r="H836">
        <v>1</v>
      </c>
      <c r="Q836">
        <v>0</v>
      </c>
      <c r="R836">
        <v>1</v>
      </c>
      <c r="S836">
        <v>0</v>
      </c>
      <c r="T836">
        <v>1</v>
      </c>
      <c r="U836">
        <v>0</v>
      </c>
      <c r="V836">
        <v>1</v>
      </c>
    </row>
    <row r="837" spans="1:22" x14ac:dyDescent="0.25">
      <c r="A837" t="str">
        <f>"833"</f>
        <v>833</v>
      </c>
      <c r="B837" t="str">
        <f t="shared" ref="B837:B900" si="47">"102"</f>
        <v>102</v>
      </c>
      <c r="C837" t="str">
        <f t="shared" si="46"/>
        <v>34</v>
      </c>
      <c r="D837" t="str">
        <f>"2"</f>
        <v>2</v>
      </c>
      <c r="E837" t="str">
        <f>"102-34-2"</f>
        <v>102-34-2</v>
      </c>
      <c r="F837" t="s">
        <v>27</v>
      </c>
      <c r="G837" t="s">
        <v>28</v>
      </c>
      <c r="H837">
        <v>1</v>
      </c>
      <c r="Q837">
        <v>1</v>
      </c>
      <c r="R837">
        <v>0</v>
      </c>
      <c r="S837">
        <v>1</v>
      </c>
      <c r="T837">
        <v>0</v>
      </c>
      <c r="U837">
        <v>0</v>
      </c>
      <c r="V837">
        <v>1</v>
      </c>
    </row>
    <row r="838" spans="1:22" x14ac:dyDescent="0.25">
      <c r="A838" t="str">
        <f>"834"</f>
        <v>834</v>
      </c>
      <c r="B838" t="str">
        <f t="shared" si="47"/>
        <v>102</v>
      </c>
      <c r="C838" t="str">
        <f t="shared" si="46"/>
        <v>34</v>
      </c>
      <c r="D838" t="str">
        <f>"23"</f>
        <v>23</v>
      </c>
      <c r="E838" t="str">
        <f>"102-34-23"</f>
        <v>102-34-23</v>
      </c>
      <c r="F838" t="s">
        <v>27</v>
      </c>
      <c r="G838" t="s">
        <v>28</v>
      </c>
      <c r="H838">
        <v>1</v>
      </c>
      <c r="Q838">
        <v>1</v>
      </c>
      <c r="R838">
        <v>0</v>
      </c>
      <c r="S838">
        <v>1</v>
      </c>
      <c r="T838">
        <v>0</v>
      </c>
      <c r="U838">
        <v>0</v>
      </c>
      <c r="V838">
        <v>1</v>
      </c>
    </row>
    <row r="839" spans="1:22" x14ac:dyDescent="0.25">
      <c r="A839" t="str">
        <f>"835"</f>
        <v>835</v>
      </c>
      <c r="B839" t="str">
        <f t="shared" si="47"/>
        <v>102</v>
      </c>
      <c r="C839" t="str">
        <f t="shared" si="46"/>
        <v>34</v>
      </c>
      <c r="D839" t="str">
        <f>"13"</f>
        <v>13</v>
      </c>
      <c r="E839" t="str">
        <f>"102-34-13"</f>
        <v>102-34-13</v>
      </c>
      <c r="F839" t="s">
        <v>27</v>
      </c>
      <c r="G839" t="s">
        <v>28</v>
      </c>
      <c r="H839">
        <v>1</v>
      </c>
      <c r="Q839">
        <v>0</v>
      </c>
      <c r="R839">
        <v>1</v>
      </c>
      <c r="S839">
        <v>1</v>
      </c>
      <c r="T839">
        <v>0</v>
      </c>
      <c r="U839">
        <v>1</v>
      </c>
      <c r="V839">
        <v>0</v>
      </c>
    </row>
    <row r="840" spans="1:22" x14ac:dyDescent="0.25">
      <c r="A840" t="str">
        <f>"836"</f>
        <v>836</v>
      </c>
      <c r="B840" t="str">
        <f t="shared" si="47"/>
        <v>102</v>
      </c>
      <c r="C840" t="str">
        <f t="shared" si="46"/>
        <v>34</v>
      </c>
      <c r="D840" t="str">
        <f>"9"</f>
        <v>9</v>
      </c>
      <c r="E840" t="str">
        <f>"102-34-9"</f>
        <v>102-34-9</v>
      </c>
      <c r="F840" t="s">
        <v>27</v>
      </c>
      <c r="G840" t="s">
        <v>28</v>
      </c>
      <c r="H840">
        <v>1</v>
      </c>
      <c r="Q840">
        <v>0</v>
      </c>
      <c r="R840">
        <v>1</v>
      </c>
      <c r="S840">
        <v>0</v>
      </c>
      <c r="T840">
        <v>1</v>
      </c>
      <c r="U840">
        <v>0</v>
      </c>
      <c r="V840">
        <v>1</v>
      </c>
    </row>
    <row r="841" spans="1:22" x14ac:dyDescent="0.25">
      <c r="A841" t="str">
        <f>"837"</f>
        <v>837</v>
      </c>
      <c r="B841" t="str">
        <f t="shared" si="47"/>
        <v>102</v>
      </c>
      <c r="C841" t="str">
        <f t="shared" si="46"/>
        <v>34</v>
      </c>
      <c r="D841" t="str">
        <f>"14"</f>
        <v>14</v>
      </c>
      <c r="E841" t="str">
        <f>"102-34-14"</f>
        <v>102-34-14</v>
      </c>
      <c r="F841" t="s">
        <v>27</v>
      </c>
      <c r="G841" t="s">
        <v>28</v>
      </c>
      <c r="H841">
        <v>1</v>
      </c>
      <c r="Q841">
        <v>0</v>
      </c>
      <c r="R841">
        <v>1</v>
      </c>
      <c r="S841">
        <v>1</v>
      </c>
      <c r="T841">
        <v>0</v>
      </c>
      <c r="U841">
        <v>1</v>
      </c>
      <c r="V841">
        <v>0</v>
      </c>
    </row>
    <row r="842" spans="1:22" x14ac:dyDescent="0.25">
      <c r="A842" t="str">
        <f>"838"</f>
        <v>838</v>
      </c>
      <c r="B842" t="str">
        <f t="shared" si="47"/>
        <v>102</v>
      </c>
      <c r="C842" t="str">
        <f t="shared" si="46"/>
        <v>34</v>
      </c>
      <c r="D842" t="str">
        <f>"5"</f>
        <v>5</v>
      </c>
      <c r="E842" t="str">
        <f>"102-34-5"</f>
        <v>102-34-5</v>
      </c>
      <c r="F842" t="s">
        <v>27</v>
      </c>
      <c r="G842" t="s">
        <v>28</v>
      </c>
      <c r="H842">
        <v>1</v>
      </c>
      <c r="Q842">
        <v>1</v>
      </c>
      <c r="R842">
        <v>0</v>
      </c>
      <c r="S842">
        <v>1</v>
      </c>
      <c r="T842">
        <v>0</v>
      </c>
      <c r="U842">
        <v>1</v>
      </c>
      <c r="V842">
        <v>0</v>
      </c>
    </row>
    <row r="843" spans="1:22" x14ac:dyDescent="0.25">
      <c r="A843" t="str">
        <f>"839"</f>
        <v>839</v>
      </c>
      <c r="B843" t="str">
        <f t="shared" si="47"/>
        <v>102</v>
      </c>
      <c r="C843" t="str">
        <f t="shared" si="46"/>
        <v>34</v>
      </c>
      <c r="D843" t="str">
        <f>"15"</f>
        <v>15</v>
      </c>
      <c r="E843" t="str">
        <f>"102-34-15"</f>
        <v>102-34-15</v>
      </c>
      <c r="F843" t="s">
        <v>27</v>
      </c>
      <c r="G843" t="s">
        <v>28</v>
      </c>
      <c r="H843">
        <v>1</v>
      </c>
      <c r="Q843">
        <v>0</v>
      </c>
      <c r="R843">
        <v>1</v>
      </c>
      <c r="S843">
        <v>0</v>
      </c>
      <c r="T843">
        <v>1</v>
      </c>
      <c r="U843">
        <v>0</v>
      </c>
      <c r="V843">
        <v>1</v>
      </c>
    </row>
    <row r="844" spans="1:22" x14ac:dyDescent="0.25">
      <c r="A844" t="str">
        <f>"840"</f>
        <v>840</v>
      </c>
      <c r="B844" t="str">
        <f t="shared" si="47"/>
        <v>102</v>
      </c>
      <c r="C844" t="str">
        <f t="shared" si="46"/>
        <v>34</v>
      </c>
      <c r="D844" t="str">
        <f>"3"</f>
        <v>3</v>
      </c>
      <c r="E844" t="str">
        <f>"102-34-3"</f>
        <v>102-34-3</v>
      </c>
      <c r="F844" t="s">
        <v>27</v>
      </c>
      <c r="G844" t="s">
        <v>28</v>
      </c>
      <c r="H844">
        <v>1</v>
      </c>
      <c r="Q844">
        <v>0</v>
      </c>
      <c r="R844">
        <v>1</v>
      </c>
      <c r="S844">
        <v>0</v>
      </c>
      <c r="T844">
        <v>1</v>
      </c>
      <c r="U844">
        <v>0</v>
      </c>
      <c r="V844">
        <v>1</v>
      </c>
    </row>
    <row r="845" spans="1:22" x14ac:dyDescent="0.25">
      <c r="A845" t="str">
        <f>"841"</f>
        <v>841</v>
      </c>
      <c r="B845" t="str">
        <f t="shared" si="47"/>
        <v>102</v>
      </c>
      <c r="C845" t="str">
        <f t="shared" si="46"/>
        <v>34</v>
      </c>
      <c r="D845" t="str">
        <f>"16"</f>
        <v>16</v>
      </c>
      <c r="E845" t="str">
        <f>"102-34-16"</f>
        <v>102-34-16</v>
      </c>
      <c r="F845" t="s">
        <v>27</v>
      </c>
      <c r="G845" t="s">
        <v>28</v>
      </c>
      <c r="H845">
        <v>1</v>
      </c>
      <c r="Q845">
        <v>1</v>
      </c>
      <c r="R845">
        <v>0</v>
      </c>
      <c r="S845">
        <v>0</v>
      </c>
      <c r="T845">
        <v>1</v>
      </c>
      <c r="U845">
        <v>1</v>
      </c>
      <c r="V845">
        <v>0</v>
      </c>
    </row>
    <row r="846" spans="1:22" x14ac:dyDescent="0.25">
      <c r="A846" t="str">
        <f>"842"</f>
        <v>842</v>
      </c>
      <c r="B846" t="str">
        <f t="shared" si="47"/>
        <v>102</v>
      </c>
      <c r="C846" t="str">
        <f t="shared" si="46"/>
        <v>34</v>
      </c>
      <c r="D846" t="str">
        <f>"8"</f>
        <v>8</v>
      </c>
      <c r="E846" t="str">
        <f>"102-34-8"</f>
        <v>102-34-8</v>
      </c>
      <c r="F846" t="s">
        <v>27</v>
      </c>
      <c r="G846" t="s">
        <v>28</v>
      </c>
      <c r="H846">
        <v>1</v>
      </c>
      <c r="Q846">
        <v>0</v>
      </c>
      <c r="R846">
        <v>1</v>
      </c>
      <c r="S846">
        <v>0</v>
      </c>
      <c r="T846">
        <v>1</v>
      </c>
      <c r="U846">
        <v>0</v>
      </c>
      <c r="V846">
        <v>1</v>
      </c>
    </row>
    <row r="847" spans="1:22" x14ac:dyDescent="0.25">
      <c r="A847" t="str">
        <f>"843"</f>
        <v>843</v>
      </c>
      <c r="B847" t="str">
        <f t="shared" si="47"/>
        <v>102</v>
      </c>
      <c r="C847" t="str">
        <f t="shared" si="46"/>
        <v>34</v>
      </c>
      <c r="D847" t="str">
        <f>"17"</f>
        <v>17</v>
      </c>
      <c r="E847" t="str">
        <f>"102-34-17"</f>
        <v>102-34-17</v>
      </c>
      <c r="F847" t="s">
        <v>27</v>
      </c>
      <c r="G847" t="s">
        <v>28</v>
      </c>
      <c r="H847">
        <v>1</v>
      </c>
      <c r="Q847">
        <v>1</v>
      </c>
      <c r="R847">
        <v>0</v>
      </c>
      <c r="S847">
        <v>1</v>
      </c>
      <c r="T847">
        <v>0</v>
      </c>
      <c r="U847">
        <v>1</v>
      </c>
      <c r="V847">
        <v>0</v>
      </c>
    </row>
    <row r="848" spans="1:22" x14ac:dyDescent="0.25">
      <c r="A848" t="str">
        <f>"844"</f>
        <v>844</v>
      </c>
      <c r="B848" t="str">
        <f t="shared" si="47"/>
        <v>102</v>
      </c>
      <c r="C848" t="str">
        <f t="shared" si="46"/>
        <v>34</v>
      </c>
      <c r="D848" t="str">
        <f>"6"</f>
        <v>6</v>
      </c>
      <c r="E848" t="str">
        <f>"102-34-6"</f>
        <v>102-34-6</v>
      </c>
      <c r="F848" t="s">
        <v>27</v>
      </c>
      <c r="G848" t="s">
        <v>28</v>
      </c>
      <c r="H848">
        <v>1</v>
      </c>
      <c r="Q848">
        <v>1</v>
      </c>
      <c r="R848">
        <v>0</v>
      </c>
      <c r="S848">
        <v>0</v>
      </c>
      <c r="T848">
        <v>1</v>
      </c>
      <c r="U848">
        <v>0</v>
      </c>
      <c r="V848">
        <v>1</v>
      </c>
    </row>
    <row r="849" spans="1:22" x14ac:dyDescent="0.25">
      <c r="A849" t="str">
        <f>"845"</f>
        <v>845</v>
      </c>
      <c r="B849" t="str">
        <f t="shared" si="47"/>
        <v>102</v>
      </c>
      <c r="C849" t="str">
        <f t="shared" si="46"/>
        <v>34</v>
      </c>
      <c r="D849" t="str">
        <f>"19"</f>
        <v>19</v>
      </c>
      <c r="E849" t="str">
        <f>"102-34-19"</f>
        <v>102-34-19</v>
      </c>
      <c r="F849" t="s">
        <v>27</v>
      </c>
      <c r="G849" t="s">
        <v>28</v>
      </c>
      <c r="H849">
        <v>1</v>
      </c>
      <c r="Q849">
        <v>1</v>
      </c>
      <c r="R849">
        <v>0</v>
      </c>
      <c r="S849">
        <v>1</v>
      </c>
      <c r="T849">
        <v>0</v>
      </c>
      <c r="U849">
        <v>1</v>
      </c>
      <c r="V849">
        <v>0</v>
      </c>
    </row>
    <row r="850" spans="1:22" x14ac:dyDescent="0.25">
      <c r="A850" t="str">
        <f>"846"</f>
        <v>846</v>
      </c>
      <c r="B850" t="str">
        <f t="shared" si="47"/>
        <v>102</v>
      </c>
      <c r="C850" t="str">
        <f t="shared" si="46"/>
        <v>34</v>
      </c>
      <c r="D850" t="str">
        <f>"7"</f>
        <v>7</v>
      </c>
      <c r="E850" t="str">
        <f>"102-34-7"</f>
        <v>102-34-7</v>
      </c>
      <c r="F850" t="s">
        <v>27</v>
      </c>
      <c r="G850" t="s">
        <v>28</v>
      </c>
      <c r="H850">
        <v>1</v>
      </c>
      <c r="Q850">
        <v>0</v>
      </c>
      <c r="R850">
        <v>1</v>
      </c>
      <c r="S850">
        <v>1</v>
      </c>
      <c r="T850">
        <v>0</v>
      </c>
      <c r="U850">
        <v>1</v>
      </c>
      <c r="V850">
        <v>0</v>
      </c>
    </row>
    <row r="851" spans="1:22" x14ac:dyDescent="0.25">
      <c r="A851" t="str">
        <f>"847"</f>
        <v>847</v>
      </c>
      <c r="B851" t="str">
        <f t="shared" si="47"/>
        <v>102</v>
      </c>
      <c r="C851" t="str">
        <f t="shared" si="46"/>
        <v>34</v>
      </c>
      <c r="D851" t="str">
        <f>"20"</f>
        <v>20</v>
      </c>
      <c r="E851" t="str">
        <f>"102-34-20"</f>
        <v>102-34-20</v>
      </c>
      <c r="F851" t="s">
        <v>27</v>
      </c>
      <c r="G851" t="s">
        <v>28</v>
      </c>
      <c r="H851">
        <v>1</v>
      </c>
      <c r="Q851">
        <v>1</v>
      </c>
      <c r="R851">
        <v>0</v>
      </c>
      <c r="S851">
        <v>1</v>
      </c>
      <c r="T851">
        <v>0</v>
      </c>
      <c r="U851">
        <v>1</v>
      </c>
      <c r="V851">
        <v>0</v>
      </c>
    </row>
    <row r="852" spans="1:22" x14ac:dyDescent="0.25">
      <c r="A852" t="str">
        <f>"848"</f>
        <v>848</v>
      </c>
      <c r="B852" t="str">
        <f t="shared" si="47"/>
        <v>102</v>
      </c>
      <c r="C852" t="str">
        <f t="shared" si="46"/>
        <v>34</v>
      </c>
      <c r="D852" t="str">
        <f>"10"</f>
        <v>10</v>
      </c>
      <c r="E852" t="str">
        <f>"102-34-10"</f>
        <v>102-34-10</v>
      </c>
      <c r="F852" t="s">
        <v>27</v>
      </c>
      <c r="G852" t="s">
        <v>28</v>
      </c>
      <c r="H852">
        <v>1</v>
      </c>
      <c r="Q852">
        <v>0</v>
      </c>
      <c r="R852">
        <v>1</v>
      </c>
      <c r="S852">
        <v>0</v>
      </c>
      <c r="T852">
        <v>1</v>
      </c>
      <c r="U852">
        <v>1</v>
      </c>
      <c r="V852">
        <v>0</v>
      </c>
    </row>
    <row r="853" spans="1:22" x14ac:dyDescent="0.25">
      <c r="A853" t="str">
        <f>"849"</f>
        <v>849</v>
      </c>
      <c r="B853" t="str">
        <f t="shared" si="47"/>
        <v>102</v>
      </c>
      <c r="C853" t="str">
        <f t="shared" si="46"/>
        <v>34</v>
      </c>
      <c r="D853" t="str">
        <f>"21"</f>
        <v>21</v>
      </c>
      <c r="E853" t="str">
        <f>"102-34-21"</f>
        <v>102-34-21</v>
      </c>
      <c r="F853" t="s">
        <v>27</v>
      </c>
      <c r="G853" t="s">
        <v>28</v>
      </c>
      <c r="H853">
        <v>1</v>
      </c>
      <c r="Q853">
        <v>0</v>
      </c>
      <c r="R853">
        <v>1</v>
      </c>
      <c r="S853">
        <v>0</v>
      </c>
      <c r="T853">
        <v>1</v>
      </c>
      <c r="U853">
        <v>0</v>
      </c>
      <c r="V853">
        <v>1</v>
      </c>
    </row>
    <row r="854" spans="1:22" x14ac:dyDescent="0.25">
      <c r="A854" t="str">
        <f>"850"</f>
        <v>850</v>
      </c>
      <c r="B854" t="str">
        <f t="shared" si="47"/>
        <v>102</v>
      </c>
      <c r="C854" t="str">
        <f t="shared" si="46"/>
        <v>34</v>
      </c>
      <c r="D854" t="str">
        <f>"4"</f>
        <v>4</v>
      </c>
      <c r="E854" t="str">
        <f>"102-34-4"</f>
        <v>102-34-4</v>
      </c>
      <c r="F854" t="s">
        <v>27</v>
      </c>
      <c r="G854" t="s">
        <v>28</v>
      </c>
      <c r="H854">
        <v>1</v>
      </c>
      <c r="Q854">
        <v>0</v>
      </c>
      <c r="R854">
        <v>1</v>
      </c>
      <c r="S854">
        <v>0</v>
      </c>
      <c r="T854">
        <v>1</v>
      </c>
      <c r="U854">
        <v>0</v>
      </c>
      <c r="V854">
        <v>1</v>
      </c>
    </row>
    <row r="855" spans="1:22" x14ac:dyDescent="0.25">
      <c r="A855" t="str">
        <f>"851"</f>
        <v>851</v>
      </c>
      <c r="B855" t="str">
        <f t="shared" si="47"/>
        <v>102</v>
      </c>
      <c r="C855" t="str">
        <f t="shared" ref="C855:C879" si="48">"35"</f>
        <v>35</v>
      </c>
      <c r="D855" t="str">
        <f>"23"</f>
        <v>23</v>
      </c>
      <c r="E855" t="str">
        <f>"102-35-23"</f>
        <v>102-35-23</v>
      </c>
      <c r="F855" t="s">
        <v>27</v>
      </c>
      <c r="G855" t="s">
        <v>28</v>
      </c>
      <c r="H855">
        <v>1</v>
      </c>
      <c r="Q855">
        <v>0</v>
      </c>
      <c r="R855">
        <v>1</v>
      </c>
      <c r="S855">
        <v>0</v>
      </c>
      <c r="T855">
        <v>1</v>
      </c>
      <c r="U855">
        <v>0</v>
      </c>
      <c r="V855">
        <v>1</v>
      </c>
    </row>
    <row r="856" spans="1:22" x14ac:dyDescent="0.25">
      <c r="A856" t="str">
        <f>"852"</f>
        <v>852</v>
      </c>
      <c r="B856" t="str">
        <f t="shared" si="47"/>
        <v>102</v>
      </c>
      <c r="C856" t="str">
        <f t="shared" si="48"/>
        <v>35</v>
      </c>
      <c r="D856" t="str">
        <f>"11"</f>
        <v>11</v>
      </c>
      <c r="E856" t="str">
        <f>"102-35-11"</f>
        <v>102-35-11</v>
      </c>
      <c r="F856" t="s">
        <v>27</v>
      </c>
      <c r="G856" t="s">
        <v>28</v>
      </c>
      <c r="H856">
        <v>1</v>
      </c>
      <c r="Q856">
        <v>1</v>
      </c>
      <c r="R856">
        <v>0</v>
      </c>
      <c r="S856">
        <v>1</v>
      </c>
      <c r="T856">
        <v>0</v>
      </c>
      <c r="U856">
        <v>1</v>
      </c>
      <c r="V856">
        <v>0</v>
      </c>
    </row>
    <row r="857" spans="1:22" x14ac:dyDescent="0.25">
      <c r="A857" t="str">
        <f>"853"</f>
        <v>853</v>
      </c>
      <c r="B857" t="str">
        <f t="shared" si="47"/>
        <v>102</v>
      </c>
      <c r="C857" t="str">
        <f t="shared" si="48"/>
        <v>35</v>
      </c>
      <c r="D857" t="str">
        <f>"2"</f>
        <v>2</v>
      </c>
      <c r="E857" t="str">
        <f>"102-35-2"</f>
        <v>102-35-2</v>
      </c>
      <c r="F857" t="s">
        <v>27</v>
      </c>
      <c r="G857" t="s">
        <v>28</v>
      </c>
      <c r="H857">
        <v>1</v>
      </c>
      <c r="Q857">
        <v>1</v>
      </c>
      <c r="R857">
        <v>0</v>
      </c>
      <c r="S857">
        <v>0</v>
      </c>
      <c r="T857">
        <v>1</v>
      </c>
      <c r="U857">
        <v>1</v>
      </c>
      <c r="V857">
        <v>0</v>
      </c>
    </row>
    <row r="858" spans="1:22" x14ac:dyDescent="0.25">
      <c r="A858" t="str">
        <f>"854"</f>
        <v>854</v>
      </c>
      <c r="B858" t="str">
        <f t="shared" si="47"/>
        <v>102</v>
      </c>
      <c r="C858" t="str">
        <f t="shared" si="48"/>
        <v>35</v>
      </c>
      <c r="D858" t="str">
        <f>"24"</f>
        <v>24</v>
      </c>
      <c r="E858" t="str">
        <f>"102-35-24"</f>
        <v>102-35-24</v>
      </c>
      <c r="F858" t="s">
        <v>27</v>
      </c>
      <c r="G858" t="s">
        <v>28</v>
      </c>
      <c r="H858">
        <v>1</v>
      </c>
      <c r="Q858">
        <v>1</v>
      </c>
      <c r="R858">
        <v>0</v>
      </c>
      <c r="S858">
        <v>0</v>
      </c>
      <c r="T858">
        <v>0</v>
      </c>
      <c r="U858">
        <v>1</v>
      </c>
      <c r="V858">
        <v>0</v>
      </c>
    </row>
    <row r="859" spans="1:22" x14ac:dyDescent="0.25">
      <c r="A859" t="str">
        <f>"855"</f>
        <v>855</v>
      </c>
      <c r="B859" t="str">
        <f t="shared" si="47"/>
        <v>102</v>
      </c>
      <c r="C859" t="str">
        <f t="shared" si="48"/>
        <v>35</v>
      </c>
      <c r="D859" t="str">
        <f>"12"</f>
        <v>12</v>
      </c>
      <c r="E859" t="str">
        <f>"102-35-12"</f>
        <v>102-35-12</v>
      </c>
      <c r="F859" t="s">
        <v>27</v>
      </c>
      <c r="G859" t="s">
        <v>28</v>
      </c>
      <c r="H859">
        <v>1</v>
      </c>
      <c r="Q859">
        <v>1</v>
      </c>
      <c r="R859">
        <v>0</v>
      </c>
      <c r="S859">
        <v>1</v>
      </c>
      <c r="T859">
        <v>0</v>
      </c>
      <c r="U859">
        <v>1</v>
      </c>
      <c r="V859">
        <v>0</v>
      </c>
    </row>
    <row r="860" spans="1:22" x14ac:dyDescent="0.25">
      <c r="A860" t="str">
        <f>"856"</f>
        <v>856</v>
      </c>
      <c r="B860" t="str">
        <f t="shared" si="47"/>
        <v>102</v>
      </c>
      <c r="C860" t="str">
        <f t="shared" si="48"/>
        <v>35</v>
      </c>
      <c r="D860" t="str">
        <f>"1"</f>
        <v>1</v>
      </c>
      <c r="E860" t="str">
        <f>"102-35-1"</f>
        <v>102-35-1</v>
      </c>
      <c r="F860" t="s">
        <v>27</v>
      </c>
      <c r="G860" t="s">
        <v>28</v>
      </c>
      <c r="H860">
        <v>1</v>
      </c>
      <c r="Q860">
        <v>0</v>
      </c>
      <c r="R860">
        <v>0</v>
      </c>
      <c r="S860">
        <v>0</v>
      </c>
      <c r="T860">
        <v>1</v>
      </c>
      <c r="U860">
        <v>0</v>
      </c>
      <c r="V860">
        <v>1</v>
      </c>
    </row>
    <row r="861" spans="1:22" x14ac:dyDescent="0.25">
      <c r="A861" t="str">
        <f>"857"</f>
        <v>857</v>
      </c>
      <c r="B861" t="str">
        <f t="shared" si="47"/>
        <v>102</v>
      </c>
      <c r="C861" t="str">
        <f t="shared" si="48"/>
        <v>35</v>
      </c>
      <c r="D861" t="str">
        <f>"25"</f>
        <v>25</v>
      </c>
      <c r="E861" t="str">
        <f>"102-35-25"</f>
        <v>102-35-25</v>
      </c>
      <c r="F861" t="s">
        <v>27</v>
      </c>
      <c r="G861" t="s">
        <v>28</v>
      </c>
      <c r="H861">
        <v>1</v>
      </c>
      <c r="Q861">
        <v>0</v>
      </c>
      <c r="R861">
        <v>1</v>
      </c>
      <c r="S861">
        <v>0</v>
      </c>
      <c r="T861">
        <v>1</v>
      </c>
      <c r="U861">
        <v>0</v>
      </c>
      <c r="V861">
        <v>1</v>
      </c>
    </row>
    <row r="862" spans="1:22" x14ac:dyDescent="0.25">
      <c r="A862" t="str">
        <f>"858"</f>
        <v>858</v>
      </c>
      <c r="B862" t="str">
        <f t="shared" si="47"/>
        <v>102</v>
      </c>
      <c r="C862" t="str">
        <f t="shared" si="48"/>
        <v>35</v>
      </c>
      <c r="D862" t="str">
        <f>"13"</f>
        <v>13</v>
      </c>
      <c r="E862" t="str">
        <f>"102-35-13"</f>
        <v>102-35-13</v>
      </c>
      <c r="F862" t="s">
        <v>27</v>
      </c>
      <c r="G862" t="s">
        <v>28</v>
      </c>
      <c r="H862">
        <v>1</v>
      </c>
      <c r="Q862">
        <v>0</v>
      </c>
      <c r="R862">
        <v>1</v>
      </c>
      <c r="S862">
        <v>0</v>
      </c>
      <c r="T862">
        <v>1</v>
      </c>
      <c r="U862">
        <v>0</v>
      </c>
      <c r="V862">
        <v>1</v>
      </c>
    </row>
    <row r="863" spans="1:22" x14ac:dyDescent="0.25">
      <c r="A863" t="str">
        <f>"859"</f>
        <v>859</v>
      </c>
      <c r="B863" t="str">
        <f t="shared" si="47"/>
        <v>102</v>
      </c>
      <c r="C863" t="str">
        <f t="shared" si="48"/>
        <v>35</v>
      </c>
      <c r="D863" t="str">
        <f>"4"</f>
        <v>4</v>
      </c>
      <c r="E863" t="str">
        <f>"102-35-4"</f>
        <v>102-35-4</v>
      </c>
      <c r="F863" t="s">
        <v>27</v>
      </c>
      <c r="G863" t="s">
        <v>28</v>
      </c>
      <c r="H863">
        <v>1</v>
      </c>
      <c r="Q863">
        <v>1</v>
      </c>
      <c r="R863">
        <v>0</v>
      </c>
      <c r="S863">
        <v>1</v>
      </c>
      <c r="T863">
        <v>0</v>
      </c>
      <c r="U863">
        <v>1</v>
      </c>
      <c r="V863">
        <v>0</v>
      </c>
    </row>
    <row r="864" spans="1:22" x14ac:dyDescent="0.25">
      <c r="A864" t="str">
        <f>"860"</f>
        <v>860</v>
      </c>
      <c r="B864" t="str">
        <f t="shared" si="47"/>
        <v>102</v>
      </c>
      <c r="C864" t="str">
        <f t="shared" si="48"/>
        <v>35</v>
      </c>
      <c r="D864" t="str">
        <f>"14"</f>
        <v>14</v>
      </c>
      <c r="E864" t="str">
        <f>"102-35-14"</f>
        <v>102-35-14</v>
      </c>
      <c r="F864" t="s">
        <v>27</v>
      </c>
      <c r="G864" t="s">
        <v>28</v>
      </c>
      <c r="H864">
        <v>1</v>
      </c>
      <c r="Q864">
        <v>1</v>
      </c>
      <c r="R864">
        <v>0</v>
      </c>
      <c r="S864">
        <v>1</v>
      </c>
      <c r="T864">
        <v>0</v>
      </c>
      <c r="U864">
        <v>1</v>
      </c>
      <c r="V864">
        <v>0</v>
      </c>
    </row>
    <row r="865" spans="1:22" x14ac:dyDescent="0.25">
      <c r="A865" t="str">
        <f>"861"</f>
        <v>861</v>
      </c>
      <c r="B865" t="str">
        <f t="shared" si="47"/>
        <v>102</v>
      </c>
      <c r="C865" t="str">
        <f t="shared" si="48"/>
        <v>35</v>
      </c>
      <c r="D865" t="str">
        <f>"7"</f>
        <v>7</v>
      </c>
      <c r="E865" t="str">
        <f>"102-35-7"</f>
        <v>102-35-7</v>
      </c>
      <c r="F865" t="s">
        <v>27</v>
      </c>
      <c r="G865" t="s">
        <v>28</v>
      </c>
      <c r="H865">
        <v>1</v>
      </c>
      <c r="Q865">
        <v>1</v>
      </c>
      <c r="R865">
        <v>0</v>
      </c>
      <c r="S865">
        <v>1</v>
      </c>
      <c r="T865">
        <v>0</v>
      </c>
      <c r="U865">
        <v>1</v>
      </c>
      <c r="V865">
        <v>0</v>
      </c>
    </row>
    <row r="866" spans="1:22" x14ac:dyDescent="0.25">
      <c r="A866" t="str">
        <f>"862"</f>
        <v>862</v>
      </c>
      <c r="B866" t="str">
        <f t="shared" si="47"/>
        <v>102</v>
      </c>
      <c r="C866" t="str">
        <f t="shared" si="48"/>
        <v>35</v>
      </c>
      <c r="D866" t="str">
        <f>"21"</f>
        <v>21</v>
      </c>
      <c r="E866" t="str">
        <f>"102-35-21"</f>
        <v>102-35-21</v>
      </c>
      <c r="F866" t="s">
        <v>27</v>
      </c>
      <c r="G866" t="s">
        <v>28</v>
      </c>
      <c r="H866">
        <v>1</v>
      </c>
      <c r="Q866">
        <v>0</v>
      </c>
      <c r="R866">
        <v>1</v>
      </c>
      <c r="S866">
        <v>0</v>
      </c>
      <c r="T866">
        <v>1</v>
      </c>
      <c r="U866">
        <v>0</v>
      </c>
      <c r="V866">
        <v>1</v>
      </c>
    </row>
    <row r="867" spans="1:22" x14ac:dyDescent="0.25">
      <c r="A867" t="str">
        <f>"863"</f>
        <v>863</v>
      </c>
      <c r="B867" t="str">
        <f t="shared" si="47"/>
        <v>102</v>
      </c>
      <c r="C867" t="str">
        <f t="shared" si="48"/>
        <v>35</v>
      </c>
      <c r="D867" t="str">
        <f>"15"</f>
        <v>15</v>
      </c>
      <c r="E867" t="str">
        <f>"102-35-15"</f>
        <v>102-35-15</v>
      </c>
      <c r="F867" t="s">
        <v>27</v>
      </c>
      <c r="G867" t="s">
        <v>28</v>
      </c>
      <c r="H867">
        <v>1</v>
      </c>
      <c r="Q867">
        <v>0</v>
      </c>
      <c r="R867">
        <v>1</v>
      </c>
      <c r="S867">
        <v>0</v>
      </c>
      <c r="T867">
        <v>1</v>
      </c>
      <c r="U867">
        <v>0</v>
      </c>
      <c r="V867">
        <v>1</v>
      </c>
    </row>
    <row r="868" spans="1:22" x14ac:dyDescent="0.25">
      <c r="A868" t="str">
        <f>"864"</f>
        <v>864</v>
      </c>
      <c r="B868" t="str">
        <f t="shared" si="47"/>
        <v>102</v>
      </c>
      <c r="C868" t="str">
        <f t="shared" si="48"/>
        <v>35</v>
      </c>
      <c r="D868" t="str">
        <f>"9"</f>
        <v>9</v>
      </c>
      <c r="E868" t="str">
        <f>"102-35-9"</f>
        <v>102-35-9</v>
      </c>
      <c r="F868" t="s">
        <v>27</v>
      </c>
      <c r="G868" t="s">
        <v>28</v>
      </c>
      <c r="H868">
        <v>1</v>
      </c>
      <c r="Q868">
        <v>0</v>
      </c>
      <c r="R868">
        <v>1</v>
      </c>
      <c r="S868">
        <v>0</v>
      </c>
      <c r="T868">
        <v>1</v>
      </c>
      <c r="U868">
        <v>0</v>
      </c>
      <c r="V868">
        <v>1</v>
      </c>
    </row>
    <row r="869" spans="1:22" x14ac:dyDescent="0.25">
      <c r="A869" t="str">
        <f>"865"</f>
        <v>865</v>
      </c>
      <c r="B869" t="str">
        <f t="shared" si="47"/>
        <v>102</v>
      </c>
      <c r="C869" t="str">
        <f t="shared" si="48"/>
        <v>35</v>
      </c>
      <c r="D869" t="str">
        <f>"16"</f>
        <v>16</v>
      </c>
      <c r="E869" t="str">
        <f>"102-35-16"</f>
        <v>102-35-16</v>
      </c>
      <c r="F869" t="s">
        <v>27</v>
      </c>
      <c r="G869" t="s">
        <v>28</v>
      </c>
      <c r="H869">
        <v>1</v>
      </c>
      <c r="Q869">
        <v>1</v>
      </c>
      <c r="R869">
        <v>0</v>
      </c>
      <c r="S869">
        <v>0</v>
      </c>
      <c r="T869">
        <v>0</v>
      </c>
      <c r="U869">
        <v>1</v>
      </c>
      <c r="V869">
        <v>0</v>
      </c>
    </row>
    <row r="870" spans="1:22" x14ac:dyDescent="0.25">
      <c r="A870" t="str">
        <f>"866"</f>
        <v>866</v>
      </c>
      <c r="B870" t="str">
        <f t="shared" si="47"/>
        <v>102</v>
      </c>
      <c r="C870" t="str">
        <f t="shared" si="48"/>
        <v>35</v>
      </c>
      <c r="D870" t="str">
        <f>"3"</f>
        <v>3</v>
      </c>
      <c r="E870" t="str">
        <f>"102-35-3"</f>
        <v>102-35-3</v>
      </c>
      <c r="F870" t="s">
        <v>27</v>
      </c>
      <c r="G870" t="s">
        <v>28</v>
      </c>
      <c r="H870">
        <v>1</v>
      </c>
      <c r="Q870">
        <v>0</v>
      </c>
      <c r="R870">
        <v>1</v>
      </c>
      <c r="S870">
        <v>0</v>
      </c>
      <c r="T870">
        <v>1</v>
      </c>
      <c r="U870">
        <v>0</v>
      </c>
      <c r="V870">
        <v>1</v>
      </c>
    </row>
    <row r="871" spans="1:22" x14ac:dyDescent="0.25">
      <c r="A871" t="str">
        <f>"867"</f>
        <v>867</v>
      </c>
      <c r="B871" t="str">
        <f t="shared" si="47"/>
        <v>102</v>
      </c>
      <c r="C871" t="str">
        <f t="shared" si="48"/>
        <v>35</v>
      </c>
      <c r="D871" t="str">
        <f>"17"</f>
        <v>17</v>
      </c>
      <c r="E871" t="str">
        <f>"102-35-17"</f>
        <v>102-35-17</v>
      </c>
      <c r="F871" t="s">
        <v>27</v>
      </c>
      <c r="G871" t="s">
        <v>28</v>
      </c>
      <c r="H871">
        <v>1</v>
      </c>
      <c r="Q871">
        <v>0</v>
      </c>
      <c r="R871">
        <v>1</v>
      </c>
      <c r="S871">
        <v>0</v>
      </c>
      <c r="T871">
        <v>1</v>
      </c>
      <c r="U871">
        <v>0</v>
      </c>
      <c r="V871">
        <v>1</v>
      </c>
    </row>
    <row r="872" spans="1:22" x14ac:dyDescent="0.25">
      <c r="A872" t="str">
        <f>"868"</f>
        <v>868</v>
      </c>
      <c r="B872" t="str">
        <f t="shared" si="47"/>
        <v>102</v>
      </c>
      <c r="C872" t="str">
        <f t="shared" si="48"/>
        <v>35</v>
      </c>
      <c r="D872" t="str">
        <f>"5"</f>
        <v>5</v>
      </c>
      <c r="E872" t="str">
        <f>"102-35-5"</f>
        <v>102-35-5</v>
      </c>
      <c r="F872" t="s">
        <v>27</v>
      </c>
      <c r="G872" t="s">
        <v>28</v>
      </c>
      <c r="H872">
        <v>1</v>
      </c>
      <c r="Q872">
        <v>0</v>
      </c>
      <c r="R872">
        <v>1</v>
      </c>
      <c r="S872">
        <v>0</v>
      </c>
      <c r="T872">
        <v>1</v>
      </c>
      <c r="U872">
        <v>1</v>
      </c>
      <c r="V872">
        <v>0</v>
      </c>
    </row>
    <row r="873" spans="1:22" x14ac:dyDescent="0.25">
      <c r="A873" t="str">
        <f>"869"</f>
        <v>869</v>
      </c>
      <c r="B873" t="str">
        <f t="shared" si="47"/>
        <v>102</v>
      </c>
      <c r="C873" t="str">
        <f t="shared" si="48"/>
        <v>35</v>
      </c>
      <c r="D873" t="str">
        <f>"22"</f>
        <v>22</v>
      </c>
      <c r="E873" t="str">
        <f>"102-35-22"</f>
        <v>102-35-22</v>
      </c>
      <c r="F873" t="s">
        <v>27</v>
      </c>
      <c r="G873" t="s">
        <v>28</v>
      </c>
      <c r="H873">
        <v>1</v>
      </c>
      <c r="Q873">
        <v>1</v>
      </c>
      <c r="R873">
        <v>0</v>
      </c>
      <c r="S873">
        <v>1</v>
      </c>
      <c r="T873">
        <v>0</v>
      </c>
      <c r="U873">
        <v>1</v>
      </c>
      <c r="V873">
        <v>0</v>
      </c>
    </row>
    <row r="874" spans="1:22" x14ac:dyDescent="0.25">
      <c r="A874" t="str">
        <f>"870"</f>
        <v>870</v>
      </c>
      <c r="B874" t="str">
        <f t="shared" si="47"/>
        <v>102</v>
      </c>
      <c r="C874" t="str">
        <f t="shared" si="48"/>
        <v>35</v>
      </c>
      <c r="D874" t="str">
        <f>"18"</f>
        <v>18</v>
      </c>
      <c r="E874" t="str">
        <f>"102-35-18"</f>
        <v>102-35-18</v>
      </c>
      <c r="F874" t="s">
        <v>27</v>
      </c>
      <c r="G874" t="s">
        <v>28</v>
      </c>
      <c r="H874">
        <v>1</v>
      </c>
      <c r="Q874">
        <v>0</v>
      </c>
      <c r="R874">
        <v>0</v>
      </c>
      <c r="S874">
        <v>0</v>
      </c>
      <c r="T874">
        <v>1</v>
      </c>
      <c r="U874">
        <v>0</v>
      </c>
      <c r="V874">
        <v>1</v>
      </c>
    </row>
    <row r="875" spans="1:22" x14ac:dyDescent="0.25">
      <c r="A875" t="str">
        <f>"871"</f>
        <v>871</v>
      </c>
      <c r="B875" t="str">
        <f t="shared" si="47"/>
        <v>102</v>
      </c>
      <c r="C875" t="str">
        <f t="shared" si="48"/>
        <v>35</v>
      </c>
      <c r="D875" t="str">
        <f>"10"</f>
        <v>10</v>
      </c>
      <c r="E875" t="str">
        <f>"102-35-10"</f>
        <v>102-35-10</v>
      </c>
      <c r="F875" t="s">
        <v>27</v>
      </c>
      <c r="G875" t="s">
        <v>28</v>
      </c>
      <c r="H875">
        <v>1</v>
      </c>
      <c r="Q875">
        <v>1</v>
      </c>
      <c r="R875">
        <v>0</v>
      </c>
      <c r="S875">
        <v>1</v>
      </c>
      <c r="T875">
        <v>0</v>
      </c>
      <c r="U875">
        <v>1</v>
      </c>
      <c r="V875">
        <v>0</v>
      </c>
    </row>
    <row r="876" spans="1:22" x14ac:dyDescent="0.25">
      <c r="A876" t="str">
        <f>"872"</f>
        <v>872</v>
      </c>
      <c r="B876" t="str">
        <f t="shared" si="47"/>
        <v>102</v>
      </c>
      <c r="C876" t="str">
        <f t="shared" si="48"/>
        <v>35</v>
      </c>
      <c r="D876" t="str">
        <f>"19"</f>
        <v>19</v>
      </c>
      <c r="E876" t="str">
        <f>"102-35-19"</f>
        <v>102-35-19</v>
      </c>
      <c r="F876" t="s">
        <v>27</v>
      </c>
      <c r="G876" t="s">
        <v>28</v>
      </c>
      <c r="H876">
        <v>1</v>
      </c>
      <c r="Q876">
        <v>1</v>
      </c>
      <c r="R876">
        <v>0</v>
      </c>
      <c r="S876">
        <v>1</v>
      </c>
      <c r="T876">
        <v>0</v>
      </c>
      <c r="U876">
        <v>1</v>
      </c>
      <c r="V876">
        <v>0</v>
      </c>
    </row>
    <row r="877" spans="1:22" x14ac:dyDescent="0.25">
      <c r="A877" t="str">
        <f>"873"</f>
        <v>873</v>
      </c>
      <c r="B877" t="str">
        <f t="shared" si="47"/>
        <v>102</v>
      </c>
      <c r="C877" t="str">
        <f t="shared" si="48"/>
        <v>35</v>
      </c>
      <c r="D877" t="str">
        <f>"6"</f>
        <v>6</v>
      </c>
      <c r="E877" t="str">
        <f>"102-35-6"</f>
        <v>102-35-6</v>
      </c>
      <c r="F877" t="s">
        <v>27</v>
      </c>
      <c r="G877" t="s">
        <v>28</v>
      </c>
      <c r="H877">
        <v>1</v>
      </c>
      <c r="Q877">
        <v>1</v>
      </c>
      <c r="R877">
        <v>0</v>
      </c>
      <c r="S877">
        <v>0</v>
      </c>
      <c r="T877">
        <v>1</v>
      </c>
      <c r="U877">
        <v>1</v>
      </c>
      <c r="V877">
        <v>0</v>
      </c>
    </row>
    <row r="878" spans="1:22" x14ac:dyDescent="0.25">
      <c r="A878" t="str">
        <f>"874"</f>
        <v>874</v>
      </c>
      <c r="B878" t="str">
        <f t="shared" si="47"/>
        <v>102</v>
      </c>
      <c r="C878" t="str">
        <f t="shared" si="48"/>
        <v>35</v>
      </c>
      <c r="D878" t="str">
        <f>"20"</f>
        <v>20</v>
      </c>
      <c r="E878" t="str">
        <f>"102-35-20"</f>
        <v>102-35-20</v>
      </c>
      <c r="F878" t="s">
        <v>27</v>
      </c>
      <c r="G878" t="s">
        <v>28</v>
      </c>
      <c r="H878">
        <v>1</v>
      </c>
      <c r="Q878">
        <v>1</v>
      </c>
      <c r="R878">
        <v>0</v>
      </c>
      <c r="S878">
        <v>1</v>
      </c>
      <c r="T878">
        <v>0</v>
      </c>
      <c r="U878">
        <v>1</v>
      </c>
      <c r="V878">
        <v>0</v>
      </c>
    </row>
    <row r="879" spans="1:22" x14ac:dyDescent="0.25">
      <c r="A879" t="str">
        <f>"875"</f>
        <v>875</v>
      </c>
      <c r="B879" t="str">
        <f t="shared" si="47"/>
        <v>102</v>
      </c>
      <c r="C879" t="str">
        <f t="shared" si="48"/>
        <v>35</v>
      </c>
      <c r="D879" t="str">
        <f>"8"</f>
        <v>8</v>
      </c>
      <c r="E879" t="str">
        <f>"102-35-8"</f>
        <v>102-35-8</v>
      </c>
      <c r="F879" t="s">
        <v>27</v>
      </c>
      <c r="G879" t="s">
        <v>28</v>
      </c>
      <c r="H879">
        <v>1</v>
      </c>
      <c r="Q879">
        <v>1</v>
      </c>
      <c r="R879">
        <v>0</v>
      </c>
      <c r="S879">
        <v>0</v>
      </c>
      <c r="T879">
        <v>1</v>
      </c>
      <c r="U879">
        <v>1</v>
      </c>
      <c r="V879">
        <v>0</v>
      </c>
    </row>
    <row r="880" spans="1:22" x14ac:dyDescent="0.25">
      <c r="A880" t="str">
        <f>"876"</f>
        <v>876</v>
      </c>
      <c r="B880" t="str">
        <f t="shared" si="47"/>
        <v>102</v>
      </c>
      <c r="C880" t="str">
        <f t="shared" ref="C880:C904" si="49">"36"</f>
        <v>36</v>
      </c>
      <c r="D880" t="str">
        <f>"21"</f>
        <v>21</v>
      </c>
      <c r="E880" t="str">
        <f>"102-36-21"</f>
        <v>102-36-21</v>
      </c>
      <c r="F880" t="s">
        <v>27</v>
      </c>
      <c r="G880" t="s">
        <v>28</v>
      </c>
      <c r="H880">
        <v>1</v>
      </c>
      <c r="Q880">
        <v>1</v>
      </c>
      <c r="R880">
        <v>0</v>
      </c>
      <c r="S880">
        <v>1</v>
      </c>
      <c r="T880">
        <v>0</v>
      </c>
      <c r="U880">
        <v>0</v>
      </c>
      <c r="V880">
        <v>1</v>
      </c>
    </row>
    <row r="881" spans="1:26" x14ac:dyDescent="0.25">
      <c r="A881" t="str">
        <f>"877"</f>
        <v>877</v>
      </c>
      <c r="B881" t="str">
        <f t="shared" si="47"/>
        <v>102</v>
      </c>
      <c r="C881" t="str">
        <f t="shared" si="49"/>
        <v>36</v>
      </c>
      <c r="D881" t="str">
        <f>"11"</f>
        <v>11</v>
      </c>
      <c r="E881" t="str">
        <f>"102-36-11"</f>
        <v>102-36-11</v>
      </c>
      <c r="F881" t="s">
        <v>27</v>
      </c>
      <c r="G881" t="s">
        <v>28</v>
      </c>
      <c r="H881">
        <v>1</v>
      </c>
      <c r="Q881">
        <v>1</v>
      </c>
      <c r="R881">
        <v>0</v>
      </c>
      <c r="S881">
        <v>0</v>
      </c>
      <c r="T881">
        <v>1</v>
      </c>
      <c r="U881">
        <v>0</v>
      </c>
      <c r="V881">
        <v>1</v>
      </c>
    </row>
    <row r="882" spans="1:26" x14ac:dyDescent="0.25">
      <c r="A882" t="str">
        <f>"878"</f>
        <v>878</v>
      </c>
      <c r="B882" t="str">
        <f t="shared" si="47"/>
        <v>102</v>
      </c>
      <c r="C882" t="str">
        <f t="shared" si="49"/>
        <v>36</v>
      </c>
      <c r="D882" t="str">
        <f>"1"</f>
        <v>1</v>
      </c>
      <c r="E882" t="str">
        <f>"102-36-1"</f>
        <v>102-36-1</v>
      </c>
      <c r="F882" t="s">
        <v>27</v>
      </c>
      <c r="G882" t="s">
        <v>28</v>
      </c>
      <c r="H882">
        <v>1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1</v>
      </c>
    </row>
    <row r="883" spans="1:26" x14ac:dyDescent="0.25">
      <c r="A883" t="str">
        <f>"879"</f>
        <v>879</v>
      </c>
      <c r="B883" t="str">
        <f t="shared" si="47"/>
        <v>102</v>
      </c>
      <c r="C883" t="str">
        <f t="shared" si="49"/>
        <v>36</v>
      </c>
      <c r="D883" t="str">
        <f>"23"</f>
        <v>23</v>
      </c>
      <c r="E883" t="str">
        <f>"102-36-23"</f>
        <v>102-36-23</v>
      </c>
      <c r="F883" t="s">
        <v>27</v>
      </c>
      <c r="G883" t="s">
        <v>28</v>
      </c>
      <c r="H883">
        <v>1</v>
      </c>
      <c r="Q883">
        <v>1</v>
      </c>
      <c r="R883">
        <v>0</v>
      </c>
      <c r="S883">
        <v>1</v>
      </c>
      <c r="T883">
        <v>0</v>
      </c>
      <c r="U883">
        <v>0</v>
      </c>
      <c r="V883">
        <v>1</v>
      </c>
    </row>
    <row r="884" spans="1:26" x14ac:dyDescent="0.25">
      <c r="A884" t="str">
        <f>"880"</f>
        <v>880</v>
      </c>
      <c r="B884" t="str">
        <f t="shared" si="47"/>
        <v>102</v>
      </c>
      <c r="C884" t="str">
        <f t="shared" si="49"/>
        <v>36</v>
      </c>
      <c r="D884" t="str">
        <f>"12"</f>
        <v>12</v>
      </c>
      <c r="E884" t="str">
        <f>"102-36-12"</f>
        <v>102-36-12</v>
      </c>
      <c r="F884" t="s">
        <v>27</v>
      </c>
      <c r="G884" t="s">
        <v>28</v>
      </c>
      <c r="H884">
        <v>1</v>
      </c>
      <c r="Q884">
        <v>1</v>
      </c>
      <c r="R884">
        <v>0</v>
      </c>
      <c r="S884">
        <v>1</v>
      </c>
      <c r="T884">
        <v>0</v>
      </c>
      <c r="U884">
        <v>1</v>
      </c>
      <c r="V884">
        <v>0</v>
      </c>
    </row>
    <row r="885" spans="1:26" x14ac:dyDescent="0.25">
      <c r="A885" t="str">
        <f>"881"</f>
        <v>881</v>
      </c>
      <c r="B885" t="str">
        <f t="shared" si="47"/>
        <v>102</v>
      </c>
      <c r="C885" t="str">
        <f t="shared" si="49"/>
        <v>36</v>
      </c>
      <c r="D885" t="str">
        <f>"2"</f>
        <v>2</v>
      </c>
      <c r="E885" t="str">
        <f>"102-36-2"</f>
        <v>102-36-2</v>
      </c>
      <c r="F885" t="s">
        <v>27</v>
      </c>
      <c r="G885" t="s">
        <v>28</v>
      </c>
      <c r="H885">
        <v>1</v>
      </c>
      <c r="Q885">
        <v>0</v>
      </c>
      <c r="R885">
        <v>1</v>
      </c>
      <c r="S885">
        <v>0</v>
      </c>
      <c r="T885">
        <v>1</v>
      </c>
      <c r="U885">
        <v>0</v>
      </c>
      <c r="V885">
        <v>1</v>
      </c>
    </row>
    <row r="886" spans="1:26" x14ac:dyDescent="0.25">
      <c r="A886" t="str">
        <f>"882"</f>
        <v>882</v>
      </c>
      <c r="B886" t="str">
        <f t="shared" si="47"/>
        <v>102</v>
      </c>
      <c r="C886" t="str">
        <f t="shared" si="49"/>
        <v>36</v>
      </c>
      <c r="D886" t="str">
        <f>"25"</f>
        <v>25</v>
      </c>
      <c r="E886" t="str">
        <f>"102-36-25"</f>
        <v>102-36-25</v>
      </c>
      <c r="F886" t="s">
        <v>27</v>
      </c>
      <c r="G886" t="s">
        <v>29</v>
      </c>
      <c r="H886">
        <v>3</v>
      </c>
      <c r="M886">
        <v>0</v>
      </c>
      <c r="N886">
        <v>1</v>
      </c>
      <c r="O886">
        <v>1</v>
      </c>
      <c r="P886">
        <v>0</v>
      </c>
      <c r="Q886">
        <v>1</v>
      </c>
      <c r="R886">
        <v>0</v>
      </c>
      <c r="S886">
        <v>0</v>
      </c>
      <c r="T886">
        <v>1</v>
      </c>
      <c r="U886">
        <v>1</v>
      </c>
      <c r="V886">
        <v>0</v>
      </c>
      <c r="Y886">
        <v>1</v>
      </c>
      <c r="Z886">
        <v>0</v>
      </c>
    </row>
    <row r="887" spans="1:26" x14ac:dyDescent="0.25">
      <c r="A887" t="str">
        <f>"883"</f>
        <v>883</v>
      </c>
      <c r="B887" t="str">
        <f t="shared" si="47"/>
        <v>102</v>
      </c>
      <c r="C887" t="str">
        <f t="shared" si="49"/>
        <v>36</v>
      </c>
      <c r="D887" t="str">
        <f>"13"</f>
        <v>13</v>
      </c>
      <c r="E887" t="str">
        <f>"102-36-13"</f>
        <v>102-36-13</v>
      </c>
      <c r="F887" t="s">
        <v>27</v>
      </c>
      <c r="G887" t="s">
        <v>28</v>
      </c>
      <c r="H887">
        <v>1</v>
      </c>
      <c r="Q887">
        <v>0</v>
      </c>
      <c r="R887">
        <v>1</v>
      </c>
      <c r="S887">
        <v>0</v>
      </c>
      <c r="T887">
        <v>1</v>
      </c>
      <c r="U887">
        <v>1</v>
      </c>
      <c r="V887">
        <v>0</v>
      </c>
    </row>
    <row r="888" spans="1:26" x14ac:dyDescent="0.25">
      <c r="A888" t="str">
        <f>"884"</f>
        <v>884</v>
      </c>
      <c r="B888" t="str">
        <f t="shared" si="47"/>
        <v>102</v>
      </c>
      <c r="C888" t="str">
        <f t="shared" si="49"/>
        <v>36</v>
      </c>
      <c r="D888" t="str">
        <f>"6"</f>
        <v>6</v>
      </c>
      <c r="E888" t="str">
        <f>"102-36-6"</f>
        <v>102-36-6</v>
      </c>
      <c r="F888" t="s">
        <v>27</v>
      </c>
      <c r="G888" t="s">
        <v>28</v>
      </c>
      <c r="H888">
        <v>1</v>
      </c>
      <c r="Q888">
        <v>1</v>
      </c>
      <c r="R888">
        <v>0</v>
      </c>
      <c r="S888">
        <v>1</v>
      </c>
      <c r="T888">
        <v>0</v>
      </c>
      <c r="U888">
        <v>1</v>
      </c>
      <c r="V888">
        <v>0</v>
      </c>
    </row>
    <row r="889" spans="1:26" x14ac:dyDescent="0.25">
      <c r="A889" t="str">
        <f>"885"</f>
        <v>885</v>
      </c>
      <c r="B889" t="str">
        <f t="shared" si="47"/>
        <v>102</v>
      </c>
      <c r="C889" t="str">
        <f t="shared" si="49"/>
        <v>36</v>
      </c>
      <c r="D889" t="str">
        <f>"24"</f>
        <v>24</v>
      </c>
      <c r="E889" t="str">
        <f>"102-36-24"</f>
        <v>102-36-24</v>
      </c>
      <c r="F889" t="s">
        <v>27</v>
      </c>
      <c r="G889" t="s">
        <v>28</v>
      </c>
      <c r="H889">
        <v>1</v>
      </c>
      <c r="Q889">
        <v>1</v>
      </c>
      <c r="R889">
        <v>0</v>
      </c>
      <c r="S889">
        <v>1</v>
      </c>
      <c r="T889">
        <v>0</v>
      </c>
      <c r="U889">
        <v>1</v>
      </c>
      <c r="V889">
        <v>0</v>
      </c>
    </row>
    <row r="890" spans="1:26" x14ac:dyDescent="0.25">
      <c r="A890" t="str">
        <f>"886"</f>
        <v>886</v>
      </c>
      <c r="B890" t="str">
        <f t="shared" si="47"/>
        <v>102</v>
      </c>
      <c r="C890" t="str">
        <f t="shared" si="49"/>
        <v>36</v>
      </c>
      <c r="D890" t="str">
        <f>"14"</f>
        <v>14</v>
      </c>
      <c r="E890" t="str">
        <f>"102-36-14"</f>
        <v>102-36-14</v>
      </c>
      <c r="F890" t="s">
        <v>27</v>
      </c>
      <c r="G890" t="s">
        <v>28</v>
      </c>
      <c r="H890">
        <v>1</v>
      </c>
      <c r="Q890">
        <v>1</v>
      </c>
      <c r="R890">
        <v>0</v>
      </c>
      <c r="S890">
        <v>1</v>
      </c>
      <c r="T890">
        <v>0</v>
      </c>
      <c r="U890">
        <v>1</v>
      </c>
      <c r="V890">
        <v>0</v>
      </c>
    </row>
    <row r="891" spans="1:26" x14ac:dyDescent="0.25">
      <c r="A891" t="str">
        <f>"887"</f>
        <v>887</v>
      </c>
      <c r="B891" t="str">
        <f t="shared" si="47"/>
        <v>102</v>
      </c>
      <c r="C891" t="str">
        <f t="shared" si="49"/>
        <v>36</v>
      </c>
      <c r="D891" t="str">
        <f>"5"</f>
        <v>5</v>
      </c>
      <c r="E891" t="str">
        <f>"102-36-5"</f>
        <v>102-36-5</v>
      </c>
      <c r="F891" t="s">
        <v>27</v>
      </c>
      <c r="G891" t="s">
        <v>28</v>
      </c>
      <c r="H891">
        <v>1</v>
      </c>
      <c r="Q891">
        <v>0</v>
      </c>
      <c r="R891">
        <v>1</v>
      </c>
      <c r="S891">
        <v>0</v>
      </c>
      <c r="T891">
        <v>1</v>
      </c>
      <c r="U891">
        <v>0</v>
      </c>
      <c r="V891">
        <v>1</v>
      </c>
    </row>
    <row r="892" spans="1:26" x14ac:dyDescent="0.25">
      <c r="A892" t="str">
        <f>"888"</f>
        <v>888</v>
      </c>
      <c r="B892" t="str">
        <f t="shared" si="47"/>
        <v>102</v>
      </c>
      <c r="C892" t="str">
        <f t="shared" si="49"/>
        <v>36</v>
      </c>
      <c r="D892" t="str">
        <f>"20"</f>
        <v>20</v>
      </c>
      <c r="E892" t="str">
        <f>"102-36-20"</f>
        <v>102-36-20</v>
      </c>
      <c r="F892" t="s">
        <v>27</v>
      </c>
      <c r="G892" t="s">
        <v>28</v>
      </c>
      <c r="H892">
        <v>1</v>
      </c>
      <c r="Q892">
        <v>0</v>
      </c>
      <c r="R892">
        <v>1</v>
      </c>
      <c r="S892">
        <v>0</v>
      </c>
      <c r="T892">
        <v>1</v>
      </c>
      <c r="U892">
        <v>0</v>
      </c>
      <c r="V892">
        <v>1</v>
      </c>
    </row>
    <row r="893" spans="1:26" x14ac:dyDescent="0.25">
      <c r="A893" t="str">
        <f>"889"</f>
        <v>889</v>
      </c>
      <c r="B893" t="str">
        <f t="shared" si="47"/>
        <v>102</v>
      </c>
      <c r="C893" t="str">
        <f t="shared" si="49"/>
        <v>36</v>
      </c>
      <c r="D893" t="str">
        <f>"15"</f>
        <v>15</v>
      </c>
      <c r="E893" t="str">
        <f>"102-36-15"</f>
        <v>102-36-15</v>
      </c>
      <c r="F893" t="s">
        <v>27</v>
      </c>
      <c r="G893" t="s">
        <v>28</v>
      </c>
      <c r="H893">
        <v>1</v>
      </c>
      <c r="Q893">
        <v>0</v>
      </c>
      <c r="R893">
        <v>1</v>
      </c>
      <c r="S893">
        <v>0</v>
      </c>
      <c r="T893">
        <v>1</v>
      </c>
      <c r="U893">
        <v>0</v>
      </c>
      <c r="V893">
        <v>1</v>
      </c>
    </row>
    <row r="894" spans="1:26" x14ac:dyDescent="0.25">
      <c r="A894" t="str">
        <f>"890"</f>
        <v>890</v>
      </c>
      <c r="B894" t="str">
        <f t="shared" si="47"/>
        <v>102</v>
      </c>
      <c r="C894" t="str">
        <f t="shared" si="49"/>
        <v>36</v>
      </c>
      <c r="D894" t="str">
        <f>"10"</f>
        <v>10</v>
      </c>
      <c r="E894" t="str">
        <f>"102-36-10"</f>
        <v>102-36-10</v>
      </c>
      <c r="F894" t="s">
        <v>27</v>
      </c>
      <c r="G894" t="s">
        <v>28</v>
      </c>
      <c r="H894">
        <v>1</v>
      </c>
      <c r="Q894">
        <v>1</v>
      </c>
      <c r="R894">
        <v>0</v>
      </c>
      <c r="S894">
        <v>1</v>
      </c>
      <c r="T894">
        <v>0</v>
      </c>
      <c r="U894">
        <v>1</v>
      </c>
      <c r="V894">
        <v>0</v>
      </c>
    </row>
    <row r="895" spans="1:26" x14ac:dyDescent="0.25">
      <c r="A895" t="str">
        <f>"891"</f>
        <v>891</v>
      </c>
      <c r="B895" t="str">
        <f t="shared" si="47"/>
        <v>102</v>
      </c>
      <c r="C895" t="str">
        <f t="shared" si="49"/>
        <v>36</v>
      </c>
      <c r="D895" t="str">
        <f>"16"</f>
        <v>16</v>
      </c>
      <c r="E895" t="str">
        <f>"102-36-16"</f>
        <v>102-36-16</v>
      </c>
      <c r="F895" t="s">
        <v>27</v>
      </c>
      <c r="G895" t="s">
        <v>28</v>
      </c>
      <c r="H895">
        <v>1</v>
      </c>
      <c r="Q895">
        <v>1</v>
      </c>
      <c r="R895">
        <v>0</v>
      </c>
      <c r="S895">
        <v>1</v>
      </c>
      <c r="T895">
        <v>0</v>
      </c>
      <c r="U895">
        <v>0</v>
      </c>
      <c r="V895">
        <v>1</v>
      </c>
    </row>
    <row r="896" spans="1:26" x14ac:dyDescent="0.25">
      <c r="A896" t="str">
        <f>"892"</f>
        <v>892</v>
      </c>
      <c r="B896" t="str">
        <f t="shared" si="47"/>
        <v>102</v>
      </c>
      <c r="C896" t="str">
        <f t="shared" si="49"/>
        <v>36</v>
      </c>
      <c r="D896" t="str">
        <f>"4"</f>
        <v>4</v>
      </c>
      <c r="E896" t="str">
        <f>"102-36-4"</f>
        <v>102-36-4</v>
      </c>
      <c r="F896" t="s">
        <v>27</v>
      </c>
      <c r="G896" t="s">
        <v>28</v>
      </c>
      <c r="H896">
        <v>1</v>
      </c>
      <c r="Q896">
        <v>1</v>
      </c>
      <c r="R896">
        <v>0</v>
      </c>
      <c r="S896">
        <v>1</v>
      </c>
      <c r="T896">
        <v>0</v>
      </c>
      <c r="U896">
        <v>1</v>
      </c>
      <c r="V896">
        <v>0</v>
      </c>
    </row>
    <row r="897" spans="1:26" x14ac:dyDescent="0.25">
      <c r="A897" t="str">
        <f>"893"</f>
        <v>893</v>
      </c>
      <c r="B897" t="str">
        <f t="shared" si="47"/>
        <v>102</v>
      </c>
      <c r="C897" t="str">
        <f t="shared" si="49"/>
        <v>36</v>
      </c>
      <c r="D897" t="str">
        <f>"17"</f>
        <v>17</v>
      </c>
      <c r="E897" t="str">
        <f>"102-36-17"</f>
        <v>102-36-17</v>
      </c>
      <c r="F897" t="s">
        <v>27</v>
      </c>
      <c r="G897" t="s">
        <v>29</v>
      </c>
      <c r="H897">
        <v>3</v>
      </c>
      <c r="M897">
        <v>0</v>
      </c>
      <c r="N897">
        <v>1</v>
      </c>
      <c r="O897">
        <v>1</v>
      </c>
      <c r="P897">
        <v>1</v>
      </c>
      <c r="Q897">
        <v>1</v>
      </c>
      <c r="R897">
        <v>0</v>
      </c>
      <c r="S897">
        <v>0</v>
      </c>
      <c r="T897">
        <v>1</v>
      </c>
      <c r="U897">
        <v>1</v>
      </c>
      <c r="V897">
        <v>0</v>
      </c>
      <c r="Y897">
        <v>0</v>
      </c>
      <c r="Z897">
        <v>1</v>
      </c>
    </row>
    <row r="898" spans="1:26" x14ac:dyDescent="0.25">
      <c r="A898" t="str">
        <f>"894"</f>
        <v>894</v>
      </c>
      <c r="B898" t="str">
        <f t="shared" si="47"/>
        <v>102</v>
      </c>
      <c r="C898" t="str">
        <f t="shared" si="49"/>
        <v>36</v>
      </c>
      <c r="D898" t="str">
        <f>"3"</f>
        <v>3</v>
      </c>
      <c r="E898" t="str">
        <f>"102-36-3"</f>
        <v>102-36-3</v>
      </c>
      <c r="F898" t="s">
        <v>27</v>
      </c>
      <c r="G898" t="s">
        <v>28</v>
      </c>
      <c r="H898">
        <v>1</v>
      </c>
      <c r="Q898">
        <v>0</v>
      </c>
      <c r="R898">
        <v>1</v>
      </c>
      <c r="S898">
        <v>0</v>
      </c>
      <c r="T898">
        <v>1</v>
      </c>
      <c r="U898">
        <v>0</v>
      </c>
      <c r="V898">
        <v>1</v>
      </c>
    </row>
    <row r="899" spans="1:26" x14ac:dyDescent="0.25">
      <c r="A899" t="str">
        <f>"895"</f>
        <v>895</v>
      </c>
      <c r="B899" t="str">
        <f t="shared" si="47"/>
        <v>102</v>
      </c>
      <c r="C899" t="str">
        <f t="shared" si="49"/>
        <v>36</v>
      </c>
      <c r="D899" t="str">
        <f>"18"</f>
        <v>18</v>
      </c>
      <c r="E899" t="str">
        <f>"102-36-18"</f>
        <v>102-36-18</v>
      </c>
      <c r="F899" t="s">
        <v>27</v>
      </c>
      <c r="G899" t="s">
        <v>28</v>
      </c>
      <c r="H899">
        <v>1</v>
      </c>
      <c r="Q899">
        <v>0</v>
      </c>
      <c r="R899">
        <v>1</v>
      </c>
      <c r="S899">
        <v>0</v>
      </c>
      <c r="T899">
        <v>1</v>
      </c>
      <c r="U899">
        <v>0</v>
      </c>
      <c r="V899">
        <v>1</v>
      </c>
    </row>
    <row r="900" spans="1:26" x14ac:dyDescent="0.25">
      <c r="A900" t="str">
        <f>"896"</f>
        <v>896</v>
      </c>
      <c r="B900" t="str">
        <f t="shared" si="47"/>
        <v>102</v>
      </c>
      <c r="C900" t="str">
        <f t="shared" si="49"/>
        <v>36</v>
      </c>
      <c r="D900" t="str">
        <f>"7"</f>
        <v>7</v>
      </c>
      <c r="E900" t="str">
        <f>"102-36-7"</f>
        <v>102-36-7</v>
      </c>
      <c r="F900" t="s">
        <v>27</v>
      </c>
      <c r="G900" t="s">
        <v>28</v>
      </c>
      <c r="H900">
        <v>1</v>
      </c>
      <c r="Q900">
        <v>0</v>
      </c>
      <c r="R900">
        <v>1</v>
      </c>
      <c r="S900">
        <v>0</v>
      </c>
      <c r="T900">
        <v>1</v>
      </c>
      <c r="U900">
        <v>0</v>
      </c>
      <c r="V900">
        <v>1</v>
      </c>
    </row>
    <row r="901" spans="1:26" x14ac:dyDescent="0.25">
      <c r="A901" t="str">
        <f>"897"</f>
        <v>897</v>
      </c>
      <c r="B901" t="str">
        <f t="shared" ref="B901:B964" si="50">"102"</f>
        <v>102</v>
      </c>
      <c r="C901" t="str">
        <f t="shared" si="49"/>
        <v>36</v>
      </c>
      <c r="D901" t="str">
        <f>"19"</f>
        <v>19</v>
      </c>
      <c r="E901" t="str">
        <f>"102-36-19"</f>
        <v>102-36-19</v>
      </c>
      <c r="F901" t="s">
        <v>27</v>
      </c>
      <c r="G901" t="s">
        <v>29</v>
      </c>
      <c r="H901">
        <v>3</v>
      </c>
      <c r="M901">
        <v>1</v>
      </c>
      <c r="N901">
        <v>1</v>
      </c>
      <c r="O901">
        <v>1</v>
      </c>
      <c r="P901">
        <v>0</v>
      </c>
      <c r="Q901">
        <v>0</v>
      </c>
      <c r="R901">
        <v>1</v>
      </c>
      <c r="S901">
        <v>0</v>
      </c>
      <c r="T901">
        <v>1</v>
      </c>
      <c r="U901">
        <v>0</v>
      </c>
      <c r="V901">
        <v>1</v>
      </c>
      <c r="Y901">
        <v>0</v>
      </c>
      <c r="Z901">
        <v>1</v>
      </c>
    </row>
    <row r="902" spans="1:26" x14ac:dyDescent="0.25">
      <c r="A902" t="str">
        <f>"898"</f>
        <v>898</v>
      </c>
      <c r="B902" t="str">
        <f t="shared" si="50"/>
        <v>102</v>
      </c>
      <c r="C902" t="str">
        <f t="shared" si="49"/>
        <v>36</v>
      </c>
      <c r="D902" t="str">
        <f>"8"</f>
        <v>8</v>
      </c>
      <c r="E902" t="str">
        <f>"102-36-8"</f>
        <v>102-36-8</v>
      </c>
      <c r="F902" t="s">
        <v>27</v>
      </c>
      <c r="G902" t="s">
        <v>29</v>
      </c>
      <c r="H902">
        <v>3</v>
      </c>
      <c r="M902">
        <v>0</v>
      </c>
      <c r="N902">
        <v>1</v>
      </c>
      <c r="O902">
        <v>0</v>
      </c>
      <c r="P902">
        <v>0</v>
      </c>
      <c r="Q902">
        <v>0</v>
      </c>
      <c r="R902">
        <v>1</v>
      </c>
      <c r="S902">
        <v>0</v>
      </c>
      <c r="T902">
        <v>1</v>
      </c>
      <c r="U902">
        <v>0</v>
      </c>
      <c r="V902">
        <v>1</v>
      </c>
      <c r="Y902">
        <v>0</v>
      </c>
      <c r="Z902">
        <v>1</v>
      </c>
    </row>
    <row r="903" spans="1:26" x14ac:dyDescent="0.25">
      <c r="A903" t="str">
        <f>"899"</f>
        <v>899</v>
      </c>
      <c r="B903" t="str">
        <f t="shared" si="50"/>
        <v>102</v>
      </c>
      <c r="C903" t="str">
        <f t="shared" si="49"/>
        <v>36</v>
      </c>
      <c r="D903" t="str">
        <f>"22"</f>
        <v>22</v>
      </c>
      <c r="E903" t="str">
        <f>"102-36-22"</f>
        <v>102-36-22</v>
      </c>
      <c r="F903" t="s">
        <v>27</v>
      </c>
      <c r="G903" t="s">
        <v>28</v>
      </c>
      <c r="H903">
        <v>1</v>
      </c>
      <c r="Q903">
        <v>1</v>
      </c>
      <c r="R903">
        <v>0</v>
      </c>
      <c r="S903">
        <v>1</v>
      </c>
      <c r="T903">
        <v>0</v>
      </c>
      <c r="U903">
        <v>0</v>
      </c>
      <c r="V903">
        <v>1</v>
      </c>
    </row>
    <row r="904" spans="1:26" x14ac:dyDescent="0.25">
      <c r="A904" t="str">
        <f>"900"</f>
        <v>900</v>
      </c>
      <c r="B904" t="str">
        <f t="shared" si="50"/>
        <v>102</v>
      </c>
      <c r="C904" t="str">
        <f t="shared" si="49"/>
        <v>36</v>
      </c>
      <c r="D904" t="str">
        <f>"9"</f>
        <v>9</v>
      </c>
      <c r="E904" t="str">
        <f>"102-36-9"</f>
        <v>102-36-9</v>
      </c>
      <c r="F904" t="s">
        <v>27</v>
      </c>
      <c r="G904" t="s">
        <v>29</v>
      </c>
      <c r="H904">
        <v>3</v>
      </c>
      <c r="M904">
        <v>0</v>
      </c>
      <c r="N904">
        <v>1</v>
      </c>
      <c r="O904">
        <v>1</v>
      </c>
      <c r="P904">
        <v>1</v>
      </c>
      <c r="Q904">
        <v>1</v>
      </c>
      <c r="R904">
        <v>0</v>
      </c>
      <c r="S904">
        <v>0</v>
      </c>
      <c r="T904">
        <v>1</v>
      </c>
      <c r="U904">
        <v>0</v>
      </c>
      <c r="V904">
        <v>1</v>
      </c>
      <c r="Y904">
        <v>0</v>
      </c>
      <c r="Z904">
        <v>1</v>
      </c>
    </row>
    <row r="905" spans="1:26" x14ac:dyDescent="0.25">
      <c r="A905" t="str">
        <f>"901"</f>
        <v>901</v>
      </c>
      <c r="B905" t="str">
        <f t="shared" si="50"/>
        <v>102</v>
      </c>
      <c r="C905" t="str">
        <f t="shared" ref="C905:C929" si="51">"37"</f>
        <v>37</v>
      </c>
      <c r="D905" t="str">
        <f>"21"</f>
        <v>21</v>
      </c>
      <c r="E905" t="str">
        <f>"102-37-21"</f>
        <v>102-37-21</v>
      </c>
      <c r="F905" t="s">
        <v>27</v>
      </c>
      <c r="G905" t="s">
        <v>28</v>
      </c>
      <c r="H905">
        <v>1</v>
      </c>
      <c r="Q905">
        <v>0</v>
      </c>
      <c r="R905">
        <v>1</v>
      </c>
      <c r="S905">
        <v>0</v>
      </c>
      <c r="T905">
        <v>1</v>
      </c>
      <c r="U905">
        <v>0</v>
      </c>
      <c r="V905">
        <v>1</v>
      </c>
    </row>
    <row r="906" spans="1:26" x14ac:dyDescent="0.25">
      <c r="A906" t="str">
        <f>"902"</f>
        <v>902</v>
      </c>
      <c r="B906" t="str">
        <f t="shared" si="50"/>
        <v>102</v>
      </c>
      <c r="C906" t="str">
        <f t="shared" si="51"/>
        <v>37</v>
      </c>
      <c r="D906" t="str">
        <f>"11"</f>
        <v>11</v>
      </c>
      <c r="E906" t="str">
        <f>"102-37-11"</f>
        <v>102-37-11</v>
      </c>
      <c r="F906" t="s">
        <v>27</v>
      </c>
      <c r="G906" t="s">
        <v>28</v>
      </c>
      <c r="H906">
        <v>1</v>
      </c>
      <c r="Q906">
        <v>1</v>
      </c>
      <c r="R906">
        <v>0</v>
      </c>
      <c r="S906">
        <v>0</v>
      </c>
      <c r="T906">
        <v>1</v>
      </c>
      <c r="U906">
        <v>0</v>
      </c>
      <c r="V906">
        <v>1</v>
      </c>
    </row>
    <row r="907" spans="1:26" x14ac:dyDescent="0.25">
      <c r="A907" t="str">
        <f>"903"</f>
        <v>903</v>
      </c>
      <c r="B907" t="str">
        <f t="shared" si="50"/>
        <v>102</v>
      </c>
      <c r="C907" t="str">
        <f t="shared" si="51"/>
        <v>37</v>
      </c>
      <c r="D907" t="str">
        <f>"2"</f>
        <v>2</v>
      </c>
      <c r="E907" t="str">
        <f>"102-37-2"</f>
        <v>102-37-2</v>
      </c>
      <c r="F907" t="s">
        <v>27</v>
      </c>
      <c r="G907" t="s">
        <v>28</v>
      </c>
      <c r="H907">
        <v>1</v>
      </c>
      <c r="Q907">
        <v>1</v>
      </c>
      <c r="R907">
        <v>0</v>
      </c>
      <c r="S907">
        <v>1</v>
      </c>
      <c r="T907">
        <v>0</v>
      </c>
      <c r="U907">
        <v>1</v>
      </c>
      <c r="V907">
        <v>0</v>
      </c>
    </row>
    <row r="908" spans="1:26" x14ac:dyDescent="0.25">
      <c r="A908" t="str">
        <f>"904"</f>
        <v>904</v>
      </c>
      <c r="B908" t="str">
        <f t="shared" si="50"/>
        <v>102</v>
      </c>
      <c r="C908" t="str">
        <f t="shared" si="51"/>
        <v>37</v>
      </c>
      <c r="D908" t="str">
        <f>"24"</f>
        <v>24</v>
      </c>
      <c r="E908" t="str">
        <f>"102-37-24"</f>
        <v>102-37-24</v>
      </c>
      <c r="F908" t="s">
        <v>27</v>
      </c>
      <c r="G908" t="s">
        <v>28</v>
      </c>
      <c r="H908">
        <v>1</v>
      </c>
      <c r="Q908">
        <v>0</v>
      </c>
      <c r="R908">
        <v>1</v>
      </c>
      <c r="S908">
        <v>0</v>
      </c>
      <c r="T908">
        <v>1</v>
      </c>
      <c r="U908">
        <v>0</v>
      </c>
      <c r="V908">
        <v>1</v>
      </c>
    </row>
    <row r="909" spans="1:26" x14ac:dyDescent="0.25">
      <c r="A909" t="str">
        <f>"905"</f>
        <v>905</v>
      </c>
      <c r="B909" t="str">
        <f t="shared" si="50"/>
        <v>102</v>
      </c>
      <c r="C909" t="str">
        <f t="shared" si="51"/>
        <v>37</v>
      </c>
      <c r="D909" t="str">
        <f>"12"</f>
        <v>12</v>
      </c>
      <c r="E909" t="str">
        <f>"102-37-12"</f>
        <v>102-37-12</v>
      </c>
      <c r="F909" t="s">
        <v>27</v>
      </c>
      <c r="G909" t="s">
        <v>28</v>
      </c>
      <c r="H909">
        <v>1</v>
      </c>
      <c r="Q909">
        <v>0</v>
      </c>
      <c r="R909">
        <v>1</v>
      </c>
      <c r="S909">
        <v>0</v>
      </c>
      <c r="T909">
        <v>1</v>
      </c>
      <c r="U909">
        <v>0</v>
      </c>
      <c r="V909">
        <v>1</v>
      </c>
    </row>
    <row r="910" spans="1:26" x14ac:dyDescent="0.25">
      <c r="A910" t="str">
        <f>"906"</f>
        <v>906</v>
      </c>
      <c r="B910" t="str">
        <f t="shared" si="50"/>
        <v>102</v>
      </c>
      <c r="C910" t="str">
        <f t="shared" si="51"/>
        <v>37</v>
      </c>
      <c r="D910" t="str">
        <f>"1"</f>
        <v>1</v>
      </c>
      <c r="E910" t="str">
        <f>"102-37-1"</f>
        <v>102-37-1</v>
      </c>
      <c r="F910" t="s">
        <v>27</v>
      </c>
      <c r="G910" t="s">
        <v>28</v>
      </c>
      <c r="H910">
        <v>1</v>
      </c>
      <c r="Q910">
        <v>1</v>
      </c>
      <c r="R910">
        <v>0</v>
      </c>
      <c r="S910">
        <v>0</v>
      </c>
      <c r="T910">
        <v>0</v>
      </c>
      <c r="U910">
        <v>1</v>
      </c>
      <c r="V910">
        <v>0</v>
      </c>
    </row>
    <row r="911" spans="1:26" x14ac:dyDescent="0.25">
      <c r="A911" t="str">
        <f>"907"</f>
        <v>907</v>
      </c>
      <c r="B911" t="str">
        <f t="shared" si="50"/>
        <v>102</v>
      </c>
      <c r="C911" t="str">
        <f t="shared" si="51"/>
        <v>37</v>
      </c>
      <c r="D911" t="str">
        <f>"25"</f>
        <v>25</v>
      </c>
      <c r="E911" t="str">
        <f>"102-37-25"</f>
        <v>102-37-25</v>
      </c>
      <c r="F911" t="s">
        <v>27</v>
      </c>
      <c r="G911" t="s">
        <v>28</v>
      </c>
      <c r="H911">
        <v>1</v>
      </c>
      <c r="Q911">
        <v>0</v>
      </c>
      <c r="R911">
        <v>1</v>
      </c>
      <c r="S911">
        <v>0</v>
      </c>
      <c r="T911">
        <v>1</v>
      </c>
      <c r="U911">
        <v>0</v>
      </c>
      <c r="V911">
        <v>1</v>
      </c>
    </row>
    <row r="912" spans="1:26" x14ac:dyDescent="0.25">
      <c r="A912" t="str">
        <f>"908"</f>
        <v>908</v>
      </c>
      <c r="B912" t="str">
        <f t="shared" si="50"/>
        <v>102</v>
      </c>
      <c r="C912" t="str">
        <f t="shared" si="51"/>
        <v>37</v>
      </c>
      <c r="D912" t="str">
        <f>"13"</f>
        <v>13</v>
      </c>
      <c r="E912" t="str">
        <f>"102-37-13"</f>
        <v>102-37-13</v>
      </c>
      <c r="F912" t="s">
        <v>27</v>
      </c>
      <c r="G912" t="s">
        <v>28</v>
      </c>
      <c r="H912">
        <v>1</v>
      </c>
      <c r="Q912">
        <v>0</v>
      </c>
      <c r="R912">
        <v>1</v>
      </c>
      <c r="S912">
        <v>0</v>
      </c>
      <c r="T912">
        <v>1</v>
      </c>
      <c r="U912">
        <v>0</v>
      </c>
      <c r="V912">
        <v>1</v>
      </c>
    </row>
    <row r="913" spans="1:22" x14ac:dyDescent="0.25">
      <c r="A913" t="str">
        <f>"909"</f>
        <v>909</v>
      </c>
      <c r="B913" t="str">
        <f t="shared" si="50"/>
        <v>102</v>
      </c>
      <c r="C913" t="str">
        <f t="shared" si="51"/>
        <v>37</v>
      </c>
      <c r="D913" t="str">
        <f>"5"</f>
        <v>5</v>
      </c>
      <c r="E913" t="str">
        <f>"102-37-5"</f>
        <v>102-37-5</v>
      </c>
      <c r="F913" t="s">
        <v>27</v>
      </c>
      <c r="G913" t="s">
        <v>28</v>
      </c>
      <c r="H913">
        <v>1</v>
      </c>
      <c r="Q913">
        <v>0</v>
      </c>
      <c r="R913">
        <v>1</v>
      </c>
      <c r="S913">
        <v>0</v>
      </c>
      <c r="T913">
        <v>1</v>
      </c>
      <c r="U913">
        <v>0</v>
      </c>
      <c r="V913">
        <v>1</v>
      </c>
    </row>
    <row r="914" spans="1:22" x14ac:dyDescent="0.25">
      <c r="A914" t="str">
        <f>"910"</f>
        <v>910</v>
      </c>
      <c r="B914" t="str">
        <f t="shared" si="50"/>
        <v>102</v>
      </c>
      <c r="C914" t="str">
        <f t="shared" si="51"/>
        <v>37</v>
      </c>
      <c r="D914" t="str">
        <f>"14"</f>
        <v>14</v>
      </c>
      <c r="E914" t="str">
        <f>"102-37-14"</f>
        <v>102-37-14</v>
      </c>
      <c r="F914" t="s">
        <v>27</v>
      </c>
      <c r="G914" t="s">
        <v>28</v>
      </c>
      <c r="H914">
        <v>1</v>
      </c>
      <c r="Q914">
        <v>1</v>
      </c>
      <c r="R914">
        <v>0</v>
      </c>
      <c r="S914">
        <v>1</v>
      </c>
      <c r="T914">
        <v>0</v>
      </c>
      <c r="U914">
        <v>0</v>
      </c>
      <c r="V914">
        <v>1</v>
      </c>
    </row>
    <row r="915" spans="1:22" x14ac:dyDescent="0.25">
      <c r="A915" t="str">
        <f>"911"</f>
        <v>911</v>
      </c>
      <c r="B915" t="str">
        <f t="shared" si="50"/>
        <v>102</v>
      </c>
      <c r="C915" t="str">
        <f t="shared" si="51"/>
        <v>37</v>
      </c>
      <c r="D915" t="str">
        <f>"3"</f>
        <v>3</v>
      </c>
      <c r="E915" t="str">
        <f>"102-37-3"</f>
        <v>102-37-3</v>
      </c>
      <c r="F915" t="s">
        <v>27</v>
      </c>
      <c r="G915" t="s">
        <v>28</v>
      </c>
      <c r="H915">
        <v>1</v>
      </c>
      <c r="Q915">
        <v>0</v>
      </c>
      <c r="R915">
        <v>1</v>
      </c>
      <c r="S915">
        <v>0</v>
      </c>
      <c r="T915">
        <v>1</v>
      </c>
      <c r="U915">
        <v>0</v>
      </c>
      <c r="V915">
        <v>1</v>
      </c>
    </row>
    <row r="916" spans="1:22" x14ac:dyDescent="0.25">
      <c r="A916" t="str">
        <f>"912"</f>
        <v>912</v>
      </c>
      <c r="B916" t="str">
        <f t="shared" si="50"/>
        <v>102</v>
      </c>
      <c r="C916" t="str">
        <f t="shared" si="51"/>
        <v>37</v>
      </c>
      <c r="D916" t="str">
        <f>"22"</f>
        <v>22</v>
      </c>
      <c r="E916" t="str">
        <f>"102-37-22"</f>
        <v>102-37-22</v>
      </c>
      <c r="F916" t="s">
        <v>27</v>
      </c>
      <c r="G916" t="s">
        <v>28</v>
      </c>
      <c r="H916">
        <v>1</v>
      </c>
      <c r="Q916">
        <v>1</v>
      </c>
      <c r="R916">
        <v>0</v>
      </c>
      <c r="S916">
        <v>1</v>
      </c>
      <c r="T916">
        <v>0</v>
      </c>
      <c r="U916">
        <v>1</v>
      </c>
      <c r="V916">
        <v>0</v>
      </c>
    </row>
    <row r="917" spans="1:22" x14ac:dyDescent="0.25">
      <c r="A917" t="str">
        <f>"913"</f>
        <v>913</v>
      </c>
      <c r="B917" t="str">
        <f t="shared" si="50"/>
        <v>102</v>
      </c>
      <c r="C917" t="str">
        <f t="shared" si="51"/>
        <v>37</v>
      </c>
      <c r="D917" t="str">
        <f>"15"</f>
        <v>15</v>
      </c>
      <c r="E917" t="str">
        <f>"102-37-15"</f>
        <v>102-37-15</v>
      </c>
      <c r="F917" t="s">
        <v>27</v>
      </c>
      <c r="G917" t="s">
        <v>28</v>
      </c>
      <c r="H917">
        <v>1</v>
      </c>
      <c r="Q917">
        <v>0</v>
      </c>
      <c r="R917">
        <v>1</v>
      </c>
      <c r="S917">
        <v>1</v>
      </c>
      <c r="T917">
        <v>0</v>
      </c>
      <c r="U917">
        <v>1</v>
      </c>
      <c r="V917">
        <v>0</v>
      </c>
    </row>
    <row r="918" spans="1:22" x14ac:dyDescent="0.25">
      <c r="A918" t="str">
        <f>"914"</f>
        <v>914</v>
      </c>
      <c r="B918" t="str">
        <f t="shared" si="50"/>
        <v>102</v>
      </c>
      <c r="C918" t="str">
        <f t="shared" si="51"/>
        <v>37</v>
      </c>
      <c r="D918" t="str">
        <f>"8"</f>
        <v>8</v>
      </c>
      <c r="E918" t="str">
        <f>"102-37-8"</f>
        <v>102-37-8</v>
      </c>
      <c r="F918" t="s">
        <v>27</v>
      </c>
      <c r="G918" t="s">
        <v>28</v>
      </c>
      <c r="H918">
        <v>1</v>
      </c>
      <c r="Q918">
        <v>1</v>
      </c>
      <c r="R918">
        <v>0</v>
      </c>
      <c r="S918">
        <v>0</v>
      </c>
      <c r="T918">
        <v>1</v>
      </c>
      <c r="U918">
        <v>1</v>
      </c>
      <c r="V918">
        <v>0</v>
      </c>
    </row>
    <row r="919" spans="1:22" x14ac:dyDescent="0.25">
      <c r="A919" t="str">
        <f>"915"</f>
        <v>915</v>
      </c>
      <c r="B919" t="str">
        <f t="shared" si="50"/>
        <v>102</v>
      </c>
      <c r="C919" t="str">
        <f t="shared" si="51"/>
        <v>37</v>
      </c>
      <c r="D919" t="str">
        <f>"23"</f>
        <v>23</v>
      </c>
      <c r="E919" t="str">
        <f>"102-37-23"</f>
        <v>102-37-23</v>
      </c>
      <c r="F919" t="s">
        <v>27</v>
      </c>
      <c r="G919" t="s">
        <v>28</v>
      </c>
      <c r="H919">
        <v>1</v>
      </c>
      <c r="Q919">
        <v>0</v>
      </c>
      <c r="R919">
        <v>1</v>
      </c>
      <c r="S919">
        <v>0</v>
      </c>
      <c r="T919">
        <v>1</v>
      </c>
      <c r="U919">
        <v>0</v>
      </c>
      <c r="V919">
        <v>1</v>
      </c>
    </row>
    <row r="920" spans="1:22" x14ac:dyDescent="0.25">
      <c r="A920" t="str">
        <f>"916"</f>
        <v>916</v>
      </c>
      <c r="B920" t="str">
        <f t="shared" si="50"/>
        <v>102</v>
      </c>
      <c r="C920" t="str">
        <f t="shared" si="51"/>
        <v>37</v>
      </c>
      <c r="D920" t="str">
        <f>"16"</f>
        <v>16</v>
      </c>
      <c r="E920" t="str">
        <f>"102-37-16"</f>
        <v>102-37-16</v>
      </c>
      <c r="F920" t="s">
        <v>27</v>
      </c>
      <c r="G920" t="s">
        <v>28</v>
      </c>
      <c r="H920">
        <v>1</v>
      </c>
      <c r="Q920">
        <v>0</v>
      </c>
      <c r="R920">
        <v>1</v>
      </c>
      <c r="S920">
        <v>0</v>
      </c>
      <c r="T920">
        <v>1</v>
      </c>
      <c r="U920">
        <v>1</v>
      </c>
      <c r="V920">
        <v>0</v>
      </c>
    </row>
    <row r="921" spans="1:22" x14ac:dyDescent="0.25">
      <c r="A921" t="str">
        <f>"917"</f>
        <v>917</v>
      </c>
      <c r="B921" t="str">
        <f t="shared" si="50"/>
        <v>102</v>
      </c>
      <c r="C921" t="str">
        <f t="shared" si="51"/>
        <v>37</v>
      </c>
      <c r="D921" t="str">
        <f>"10"</f>
        <v>10</v>
      </c>
      <c r="E921" t="str">
        <f>"102-37-10"</f>
        <v>102-37-10</v>
      </c>
      <c r="F921" t="s">
        <v>27</v>
      </c>
      <c r="G921" t="s">
        <v>28</v>
      </c>
      <c r="H921">
        <v>1</v>
      </c>
      <c r="Q921">
        <v>1</v>
      </c>
      <c r="R921">
        <v>0</v>
      </c>
      <c r="S921">
        <v>1</v>
      </c>
      <c r="T921">
        <v>0</v>
      </c>
      <c r="U921">
        <v>1</v>
      </c>
      <c r="V921">
        <v>0</v>
      </c>
    </row>
    <row r="922" spans="1:22" x14ac:dyDescent="0.25">
      <c r="A922" t="str">
        <f>"918"</f>
        <v>918</v>
      </c>
      <c r="B922" t="str">
        <f t="shared" si="50"/>
        <v>102</v>
      </c>
      <c r="C922" t="str">
        <f t="shared" si="51"/>
        <v>37</v>
      </c>
      <c r="D922" t="str">
        <f>"17"</f>
        <v>17</v>
      </c>
      <c r="E922" t="str">
        <f>"102-37-17"</f>
        <v>102-37-17</v>
      </c>
      <c r="F922" t="s">
        <v>27</v>
      </c>
      <c r="G922" t="s">
        <v>28</v>
      </c>
      <c r="H922">
        <v>1</v>
      </c>
      <c r="Q922">
        <v>0</v>
      </c>
      <c r="R922">
        <v>1</v>
      </c>
      <c r="S922">
        <v>0</v>
      </c>
      <c r="T922">
        <v>1</v>
      </c>
      <c r="U922">
        <v>1</v>
      </c>
      <c r="V922">
        <v>0</v>
      </c>
    </row>
    <row r="923" spans="1:22" x14ac:dyDescent="0.25">
      <c r="A923" t="str">
        <f>"919"</f>
        <v>919</v>
      </c>
      <c r="B923" t="str">
        <f t="shared" si="50"/>
        <v>102</v>
      </c>
      <c r="C923" t="str">
        <f t="shared" si="51"/>
        <v>37</v>
      </c>
      <c r="D923" t="str">
        <f>"7"</f>
        <v>7</v>
      </c>
      <c r="E923" t="str">
        <f>"102-37-7"</f>
        <v>102-37-7</v>
      </c>
      <c r="F923" t="s">
        <v>27</v>
      </c>
      <c r="G923" t="s">
        <v>28</v>
      </c>
      <c r="H923">
        <v>1</v>
      </c>
      <c r="Q923">
        <v>0</v>
      </c>
      <c r="R923">
        <v>1</v>
      </c>
      <c r="S923">
        <v>0</v>
      </c>
      <c r="T923">
        <v>1</v>
      </c>
      <c r="U923">
        <v>1</v>
      </c>
      <c r="V923">
        <v>0</v>
      </c>
    </row>
    <row r="924" spans="1:22" x14ac:dyDescent="0.25">
      <c r="A924" t="str">
        <f>"920"</f>
        <v>920</v>
      </c>
      <c r="B924" t="str">
        <f t="shared" si="50"/>
        <v>102</v>
      </c>
      <c r="C924" t="str">
        <f t="shared" si="51"/>
        <v>37</v>
      </c>
      <c r="D924" t="str">
        <f>"18"</f>
        <v>18</v>
      </c>
      <c r="E924" t="str">
        <f>"102-37-18"</f>
        <v>102-37-18</v>
      </c>
      <c r="F924" t="s">
        <v>27</v>
      </c>
      <c r="G924" t="s">
        <v>28</v>
      </c>
      <c r="H924">
        <v>1</v>
      </c>
      <c r="Q924">
        <v>0</v>
      </c>
      <c r="R924">
        <v>1</v>
      </c>
      <c r="S924">
        <v>0</v>
      </c>
      <c r="T924">
        <v>1</v>
      </c>
      <c r="U924">
        <v>1</v>
      </c>
      <c r="V924">
        <v>0</v>
      </c>
    </row>
    <row r="925" spans="1:22" x14ac:dyDescent="0.25">
      <c r="A925" t="str">
        <f>"921"</f>
        <v>921</v>
      </c>
      <c r="B925" t="str">
        <f t="shared" si="50"/>
        <v>102</v>
      </c>
      <c r="C925" t="str">
        <f t="shared" si="51"/>
        <v>37</v>
      </c>
      <c r="D925" t="str">
        <f>"9"</f>
        <v>9</v>
      </c>
      <c r="E925" t="str">
        <f>"102-37-9"</f>
        <v>102-37-9</v>
      </c>
      <c r="F925" t="s">
        <v>27</v>
      </c>
      <c r="G925" t="s">
        <v>28</v>
      </c>
      <c r="H925">
        <v>1</v>
      </c>
      <c r="Q925">
        <v>0</v>
      </c>
      <c r="R925">
        <v>1</v>
      </c>
      <c r="S925">
        <v>0</v>
      </c>
      <c r="T925">
        <v>1</v>
      </c>
      <c r="U925">
        <v>0</v>
      </c>
      <c r="V925">
        <v>1</v>
      </c>
    </row>
    <row r="926" spans="1:22" x14ac:dyDescent="0.25">
      <c r="A926" t="str">
        <f>"922"</f>
        <v>922</v>
      </c>
      <c r="B926" t="str">
        <f t="shared" si="50"/>
        <v>102</v>
      </c>
      <c r="C926" t="str">
        <f t="shared" si="51"/>
        <v>37</v>
      </c>
      <c r="D926" t="str">
        <f>"19"</f>
        <v>19</v>
      </c>
      <c r="E926" t="str">
        <f>"102-37-19"</f>
        <v>102-37-19</v>
      </c>
      <c r="F926" t="s">
        <v>27</v>
      </c>
      <c r="G926" t="s">
        <v>28</v>
      </c>
      <c r="H926">
        <v>1</v>
      </c>
      <c r="Q926">
        <v>1</v>
      </c>
      <c r="R926">
        <v>0</v>
      </c>
      <c r="S926">
        <v>1</v>
      </c>
      <c r="T926">
        <v>0</v>
      </c>
      <c r="U926">
        <v>0</v>
      </c>
      <c r="V926">
        <v>1</v>
      </c>
    </row>
    <row r="927" spans="1:22" x14ac:dyDescent="0.25">
      <c r="A927" t="str">
        <f>"923"</f>
        <v>923</v>
      </c>
      <c r="B927" t="str">
        <f t="shared" si="50"/>
        <v>102</v>
      </c>
      <c r="C927" t="str">
        <f t="shared" si="51"/>
        <v>37</v>
      </c>
      <c r="D927" t="str">
        <f>"4"</f>
        <v>4</v>
      </c>
      <c r="E927" t="str">
        <f>"102-37-4"</f>
        <v>102-37-4</v>
      </c>
      <c r="F927" t="s">
        <v>27</v>
      </c>
      <c r="G927" t="s">
        <v>28</v>
      </c>
      <c r="H927">
        <v>1</v>
      </c>
      <c r="Q927">
        <v>1</v>
      </c>
      <c r="R927">
        <v>0</v>
      </c>
      <c r="S927">
        <v>1</v>
      </c>
      <c r="T927">
        <v>0</v>
      </c>
      <c r="U927">
        <v>1</v>
      </c>
      <c r="V927">
        <v>0</v>
      </c>
    </row>
    <row r="928" spans="1:22" x14ac:dyDescent="0.25">
      <c r="A928" t="str">
        <f>"924"</f>
        <v>924</v>
      </c>
      <c r="B928" t="str">
        <f t="shared" si="50"/>
        <v>102</v>
      </c>
      <c r="C928" t="str">
        <f t="shared" si="51"/>
        <v>37</v>
      </c>
      <c r="D928" t="str">
        <f>"20"</f>
        <v>20</v>
      </c>
      <c r="E928" t="str">
        <f>"102-37-20"</f>
        <v>102-37-20</v>
      </c>
      <c r="F928" t="s">
        <v>27</v>
      </c>
      <c r="G928" t="s">
        <v>28</v>
      </c>
      <c r="H928">
        <v>1</v>
      </c>
      <c r="Q928">
        <v>1</v>
      </c>
      <c r="R928">
        <v>0</v>
      </c>
      <c r="S928">
        <v>1</v>
      </c>
      <c r="T928">
        <v>0</v>
      </c>
      <c r="U928">
        <v>1</v>
      </c>
      <c r="V928">
        <v>0</v>
      </c>
    </row>
    <row r="929" spans="1:22" x14ac:dyDescent="0.25">
      <c r="A929" t="str">
        <f>"925"</f>
        <v>925</v>
      </c>
      <c r="B929" t="str">
        <f t="shared" si="50"/>
        <v>102</v>
      </c>
      <c r="C929" t="str">
        <f t="shared" si="51"/>
        <v>37</v>
      </c>
      <c r="D929" t="str">
        <f>"6"</f>
        <v>6</v>
      </c>
      <c r="E929" t="str">
        <f>"102-37-6"</f>
        <v>102-37-6</v>
      </c>
      <c r="F929" t="s">
        <v>27</v>
      </c>
      <c r="G929" t="s">
        <v>28</v>
      </c>
      <c r="H929">
        <v>1</v>
      </c>
      <c r="Q929">
        <v>1</v>
      </c>
      <c r="R929">
        <v>0</v>
      </c>
      <c r="S929">
        <v>1</v>
      </c>
      <c r="T929">
        <v>0</v>
      </c>
      <c r="U929">
        <v>1</v>
      </c>
      <c r="V929">
        <v>0</v>
      </c>
    </row>
    <row r="930" spans="1:22" x14ac:dyDescent="0.25">
      <c r="A930" t="str">
        <f>"926"</f>
        <v>926</v>
      </c>
      <c r="B930" t="str">
        <f t="shared" si="50"/>
        <v>102</v>
      </c>
      <c r="C930" t="str">
        <f t="shared" ref="C930:C954" si="52">"38"</f>
        <v>38</v>
      </c>
      <c r="D930" t="str">
        <f>"23"</f>
        <v>23</v>
      </c>
      <c r="E930" t="str">
        <f>"102-38-23"</f>
        <v>102-38-23</v>
      </c>
      <c r="F930" t="s">
        <v>27</v>
      </c>
      <c r="G930" t="s">
        <v>28</v>
      </c>
      <c r="H930">
        <v>1</v>
      </c>
      <c r="Q930">
        <v>1</v>
      </c>
      <c r="R930">
        <v>0</v>
      </c>
      <c r="S930">
        <v>0</v>
      </c>
      <c r="T930">
        <v>1</v>
      </c>
      <c r="U930">
        <v>1</v>
      </c>
      <c r="V930">
        <v>0</v>
      </c>
    </row>
    <row r="931" spans="1:22" x14ac:dyDescent="0.25">
      <c r="A931" t="str">
        <f>"927"</f>
        <v>927</v>
      </c>
      <c r="B931" t="str">
        <f t="shared" si="50"/>
        <v>102</v>
      </c>
      <c r="C931" t="str">
        <f t="shared" si="52"/>
        <v>38</v>
      </c>
      <c r="D931" t="str">
        <f>"11"</f>
        <v>11</v>
      </c>
      <c r="E931" t="str">
        <f>"102-38-11"</f>
        <v>102-38-11</v>
      </c>
      <c r="F931" t="s">
        <v>27</v>
      </c>
      <c r="G931" t="s">
        <v>28</v>
      </c>
      <c r="H931">
        <v>1</v>
      </c>
      <c r="Q931">
        <v>0</v>
      </c>
      <c r="R931">
        <v>1</v>
      </c>
      <c r="S931">
        <v>0</v>
      </c>
      <c r="T931">
        <v>1</v>
      </c>
      <c r="U931">
        <v>0</v>
      </c>
      <c r="V931">
        <v>1</v>
      </c>
    </row>
    <row r="932" spans="1:22" x14ac:dyDescent="0.25">
      <c r="A932" t="str">
        <f>"928"</f>
        <v>928</v>
      </c>
      <c r="B932" t="str">
        <f t="shared" si="50"/>
        <v>102</v>
      </c>
      <c r="C932" t="str">
        <f t="shared" si="52"/>
        <v>38</v>
      </c>
      <c r="D932" t="str">
        <f>"1"</f>
        <v>1</v>
      </c>
      <c r="E932" t="str">
        <f>"102-38-1"</f>
        <v>102-38-1</v>
      </c>
      <c r="F932" t="s">
        <v>27</v>
      </c>
      <c r="G932" t="s">
        <v>28</v>
      </c>
      <c r="H932">
        <v>1</v>
      </c>
      <c r="Q932">
        <v>0</v>
      </c>
      <c r="R932">
        <v>1</v>
      </c>
      <c r="S932">
        <v>0</v>
      </c>
      <c r="T932">
        <v>1</v>
      </c>
      <c r="U932">
        <v>0</v>
      </c>
      <c r="V932">
        <v>1</v>
      </c>
    </row>
    <row r="933" spans="1:22" x14ac:dyDescent="0.25">
      <c r="A933" t="str">
        <f>"929"</f>
        <v>929</v>
      </c>
      <c r="B933" t="str">
        <f t="shared" si="50"/>
        <v>102</v>
      </c>
      <c r="C933" t="str">
        <f t="shared" si="52"/>
        <v>38</v>
      </c>
      <c r="D933" t="str">
        <f>"24"</f>
        <v>24</v>
      </c>
      <c r="E933" t="str">
        <f>"102-38-24"</f>
        <v>102-38-24</v>
      </c>
      <c r="F933" t="s">
        <v>27</v>
      </c>
      <c r="G933" t="s">
        <v>28</v>
      </c>
      <c r="H933">
        <v>1</v>
      </c>
      <c r="Q933">
        <v>1</v>
      </c>
      <c r="R933">
        <v>0</v>
      </c>
      <c r="S933">
        <v>0</v>
      </c>
      <c r="T933">
        <v>1</v>
      </c>
      <c r="U933">
        <v>1</v>
      </c>
      <c r="V933">
        <v>0</v>
      </c>
    </row>
    <row r="934" spans="1:22" x14ac:dyDescent="0.25">
      <c r="A934" t="str">
        <f>"930"</f>
        <v>930</v>
      </c>
      <c r="B934" t="str">
        <f t="shared" si="50"/>
        <v>102</v>
      </c>
      <c r="C934" t="str">
        <f t="shared" si="52"/>
        <v>38</v>
      </c>
      <c r="D934" t="str">
        <f>"12"</f>
        <v>12</v>
      </c>
      <c r="E934" t="str">
        <f>"102-38-12"</f>
        <v>102-38-12</v>
      </c>
      <c r="F934" t="s">
        <v>27</v>
      </c>
      <c r="G934" t="s">
        <v>28</v>
      </c>
      <c r="H934">
        <v>1</v>
      </c>
      <c r="Q934">
        <v>0</v>
      </c>
      <c r="R934">
        <v>1</v>
      </c>
      <c r="S934">
        <v>0</v>
      </c>
      <c r="T934">
        <v>1</v>
      </c>
      <c r="U934">
        <v>0</v>
      </c>
      <c r="V934">
        <v>1</v>
      </c>
    </row>
    <row r="935" spans="1:22" x14ac:dyDescent="0.25">
      <c r="A935" t="str">
        <f>"931"</f>
        <v>931</v>
      </c>
      <c r="B935" t="str">
        <f t="shared" si="50"/>
        <v>102</v>
      </c>
      <c r="C935" t="str">
        <f t="shared" si="52"/>
        <v>38</v>
      </c>
      <c r="D935" t="str">
        <f>"5"</f>
        <v>5</v>
      </c>
      <c r="E935" t="str">
        <f>"102-38-5"</f>
        <v>102-38-5</v>
      </c>
      <c r="F935" t="s">
        <v>27</v>
      </c>
      <c r="G935" t="s">
        <v>28</v>
      </c>
      <c r="H935">
        <v>1</v>
      </c>
      <c r="Q935">
        <v>1</v>
      </c>
      <c r="R935">
        <v>0</v>
      </c>
      <c r="S935">
        <v>0</v>
      </c>
      <c r="T935">
        <v>1</v>
      </c>
      <c r="U935">
        <v>1</v>
      </c>
      <c r="V935">
        <v>0</v>
      </c>
    </row>
    <row r="936" spans="1:22" x14ac:dyDescent="0.25">
      <c r="A936" t="str">
        <f>"932"</f>
        <v>932</v>
      </c>
      <c r="B936" t="str">
        <f t="shared" si="50"/>
        <v>102</v>
      </c>
      <c r="C936" t="str">
        <f t="shared" si="52"/>
        <v>38</v>
      </c>
      <c r="D936" t="str">
        <f>"13"</f>
        <v>13</v>
      </c>
      <c r="E936" t="str">
        <f>"102-38-13"</f>
        <v>102-38-13</v>
      </c>
      <c r="F936" t="s">
        <v>27</v>
      </c>
      <c r="G936" t="s">
        <v>28</v>
      </c>
      <c r="H936">
        <v>1</v>
      </c>
      <c r="Q936">
        <v>0</v>
      </c>
      <c r="R936">
        <v>1</v>
      </c>
      <c r="S936">
        <v>0</v>
      </c>
      <c r="T936">
        <v>1</v>
      </c>
      <c r="U936">
        <v>0</v>
      </c>
      <c r="V936">
        <v>1</v>
      </c>
    </row>
    <row r="937" spans="1:22" x14ac:dyDescent="0.25">
      <c r="A937" t="str">
        <f>"933"</f>
        <v>933</v>
      </c>
      <c r="B937" t="str">
        <f t="shared" si="50"/>
        <v>102</v>
      </c>
      <c r="C937" t="str">
        <f t="shared" si="52"/>
        <v>38</v>
      </c>
      <c r="D937" t="str">
        <f>"2"</f>
        <v>2</v>
      </c>
      <c r="E937" t="str">
        <f>"102-38-2"</f>
        <v>102-38-2</v>
      </c>
      <c r="F937" t="s">
        <v>27</v>
      </c>
      <c r="G937" t="s">
        <v>28</v>
      </c>
      <c r="H937">
        <v>1</v>
      </c>
      <c r="Q937">
        <v>0</v>
      </c>
      <c r="R937">
        <v>1</v>
      </c>
      <c r="S937">
        <v>0</v>
      </c>
      <c r="T937">
        <v>1</v>
      </c>
      <c r="U937">
        <v>0</v>
      </c>
      <c r="V937">
        <v>1</v>
      </c>
    </row>
    <row r="938" spans="1:22" x14ac:dyDescent="0.25">
      <c r="A938" t="str">
        <f>"934"</f>
        <v>934</v>
      </c>
      <c r="B938" t="str">
        <f t="shared" si="50"/>
        <v>102</v>
      </c>
      <c r="C938" t="str">
        <f t="shared" si="52"/>
        <v>38</v>
      </c>
      <c r="D938" t="str">
        <f>"25"</f>
        <v>25</v>
      </c>
      <c r="E938" t="str">
        <f>"102-38-25"</f>
        <v>102-38-25</v>
      </c>
      <c r="F938" t="s">
        <v>27</v>
      </c>
      <c r="G938" t="s">
        <v>28</v>
      </c>
      <c r="H938">
        <v>1</v>
      </c>
      <c r="Q938">
        <v>0</v>
      </c>
      <c r="R938">
        <v>1</v>
      </c>
      <c r="S938">
        <v>0</v>
      </c>
      <c r="T938">
        <v>1</v>
      </c>
      <c r="U938">
        <v>0</v>
      </c>
      <c r="V938">
        <v>1</v>
      </c>
    </row>
    <row r="939" spans="1:22" x14ac:dyDescent="0.25">
      <c r="A939" t="str">
        <f>"935"</f>
        <v>935</v>
      </c>
      <c r="B939" t="str">
        <f t="shared" si="50"/>
        <v>102</v>
      </c>
      <c r="C939" t="str">
        <f t="shared" si="52"/>
        <v>38</v>
      </c>
      <c r="D939" t="str">
        <f>"14"</f>
        <v>14</v>
      </c>
      <c r="E939" t="str">
        <f>"102-38-14"</f>
        <v>102-38-14</v>
      </c>
      <c r="F939" t="s">
        <v>27</v>
      </c>
      <c r="G939" t="s">
        <v>28</v>
      </c>
      <c r="H939">
        <v>1</v>
      </c>
      <c r="Q939">
        <v>0</v>
      </c>
      <c r="R939">
        <v>1</v>
      </c>
      <c r="S939">
        <v>0</v>
      </c>
      <c r="T939">
        <v>1</v>
      </c>
      <c r="U939">
        <v>1</v>
      </c>
      <c r="V939">
        <v>0</v>
      </c>
    </row>
    <row r="940" spans="1:22" x14ac:dyDescent="0.25">
      <c r="A940" t="str">
        <f>"936"</f>
        <v>936</v>
      </c>
      <c r="B940" t="str">
        <f t="shared" si="50"/>
        <v>102</v>
      </c>
      <c r="C940" t="str">
        <f t="shared" si="52"/>
        <v>38</v>
      </c>
      <c r="D940" t="str">
        <f>"4"</f>
        <v>4</v>
      </c>
      <c r="E940" t="str">
        <f>"102-38-4"</f>
        <v>102-38-4</v>
      </c>
      <c r="F940" t="s">
        <v>27</v>
      </c>
      <c r="G940" t="s">
        <v>28</v>
      </c>
      <c r="H940">
        <v>1</v>
      </c>
      <c r="Q940">
        <v>0</v>
      </c>
      <c r="R940">
        <v>1</v>
      </c>
      <c r="S940">
        <v>0</v>
      </c>
      <c r="T940">
        <v>1</v>
      </c>
      <c r="U940">
        <v>1</v>
      </c>
      <c r="V940">
        <v>0</v>
      </c>
    </row>
    <row r="941" spans="1:22" x14ac:dyDescent="0.25">
      <c r="A941" t="str">
        <f>"937"</f>
        <v>937</v>
      </c>
      <c r="B941" t="str">
        <f t="shared" si="50"/>
        <v>102</v>
      </c>
      <c r="C941" t="str">
        <f t="shared" si="52"/>
        <v>38</v>
      </c>
      <c r="D941" t="str">
        <f>"15"</f>
        <v>15</v>
      </c>
      <c r="E941" t="str">
        <f>"102-38-15"</f>
        <v>102-38-15</v>
      </c>
      <c r="F941" t="s">
        <v>27</v>
      </c>
      <c r="G941" t="s">
        <v>28</v>
      </c>
      <c r="H941">
        <v>1</v>
      </c>
      <c r="Q941">
        <v>1</v>
      </c>
      <c r="R941">
        <v>0</v>
      </c>
      <c r="S941">
        <v>0</v>
      </c>
      <c r="T941">
        <v>1</v>
      </c>
      <c r="U941">
        <v>0</v>
      </c>
      <c r="V941">
        <v>0</v>
      </c>
    </row>
    <row r="942" spans="1:22" x14ac:dyDescent="0.25">
      <c r="A942" t="str">
        <f>"938"</f>
        <v>938</v>
      </c>
      <c r="B942" t="str">
        <f t="shared" si="50"/>
        <v>102</v>
      </c>
      <c r="C942" t="str">
        <f t="shared" si="52"/>
        <v>38</v>
      </c>
      <c r="D942" t="str">
        <f>"6"</f>
        <v>6</v>
      </c>
      <c r="E942" t="str">
        <f>"102-38-6"</f>
        <v>102-38-6</v>
      </c>
      <c r="F942" t="s">
        <v>27</v>
      </c>
      <c r="G942" t="s">
        <v>28</v>
      </c>
      <c r="H942">
        <v>1</v>
      </c>
      <c r="Q942">
        <v>0</v>
      </c>
      <c r="R942">
        <v>1</v>
      </c>
      <c r="S942">
        <v>0</v>
      </c>
      <c r="T942">
        <v>1</v>
      </c>
      <c r="U942">
        <v>0</v>
      </c>
      <c r="V942">
        <v>0</v>
      </c>
    </row>
    <row r="943" spans="1:22" x14ac:dyDescent="0.25">
      <c r="A943" t="str">
        <f>"939"</f>
        <v>939</v>
      </c>
      <c r="B943" t="str">
        <f t="shared" si="50"/>
        <v>102</v>
      </c>
      <c r="C943" t="str">
        <f t="shared" si="52"/>
        <v>38</v>
      </c>
      <c r="D943" t="str">
        <f>"16"</f>
        <v>16</v>
      </c>
      <c r="E943" t="str">
        <f>"102-38-16"</f>
        <v>102-38-16</v>
      </c>
      <c r="F943" t="s">
        <v>27</v>
      </c>
      <c r="G943" t="s">
        <v>28</v>
      </c>
      <c r="H943">
        <v>1</v>
      </c>
      <c r="Q943">
        <v>1</v>
      </c>
      <c r="R943">
        <v>0</v>
      </c>
      <c r="S943">
        <v>1</v>
      </c>
      <c r="T943">
        <v>0</v>
      </c>
      <c r="U943">
        <v>1</v>
      </c>
      <c r="V943">
        <v>0</v>
      </c>
    </row>
    <row r="944" spans="1:22" x14ac:dyDescent="0.25">
      <c r="A944" t="str">
        <f>"940"</f>
        <v>940</v>
      </c>
      <c r="B944" t="str">
        <f t="shared" si="50"/>
        <v>102</v>
      </c>
      <c r="C944" t="str">
        <f t="shared" si="52"/>
        <v>38</v>
      </c>
      <c r="D944" t="str">
        <f>"3"</f>
        <v>3</v>
      </c>
      <c r="E944" t="str">
        <f>"102-38-3"</f>
        <v>102-38-3</v>
      </c>
      <c r="F944" t="s">
        <v>27</v>
      </c>
      <c r="G944" t="s">
        <v>28</v>
      </c>
      <c r="H944">
        <v>1</v>
      </c>
      <c r="Q944">
        <v>0</v>
      </c>
      <c r="R944">
        <v>1</v>
      </c>
      <c r="S944">
        <v>0</v>
      </c>
      <c r="T944">
        <v>1</v>
      </c>
      <c r="U944">
        <v>0</v>
      </c>
      <c r="V944">
        <v>1</v>
      </c>
    </row>
    <row r="945" spans="1:24" x14ac:dyDescent="0.25">
      <c r="A945" t="str">
        <f>"941"</f>
        <v>941</v>
      </c>
      <c r="B945" t="str">
        <f t="shared" si="50"/>
        <v>102</v>
      </c>
      <c r="C945" t="str">
        <f t="shared" si="52"/>
        <v>38</v>
      </c>
      <c r="D945" t="str">
        <f>"21"</f>
        <v>21</v>
      </c>
      <c r="E945" t="str">
        <f>"102-38-21"</f>
        <v>102-38-21</v>
      </c>
      <c r="F945" t="s">
        <v>27</v>
      </c>
      <c r="G945" t="s">
        <v>28</v>
      </c>
      <c r="H945">
        <v>1</v>
      </c>
      <c r="Q945">
        <v>1</v>
      </c>
      <c r="R945">
        <v>0</v>
      </c>
      <c r="S945">
        <v>1</v>
      </c>
      <c r="T945">
        <v>0</v>
      </c>
      <c r="U945">
        <v>1</v>
      </c>
      <c r="V945">
        <v>0</v>
      </c>
    </row>
    <row r="946" spans="1:24" x14ac:dyDescent="0.25">
      <c r="A946" t="str">
        <f>"942"</f>
        <v>942</v>
      </c>
      <c r="B946" t="str">
        <f t="shared" si="50"/>
        <v>102</v>
      </c>
      <c r="C946" t="str">
        <f t="shared" si="52"/>
        <v>38</v>
      </c>
      <c r="D946" t="str">
        <f>"17"</f>
        <v>17</v>
      </c>
      <c r="E946" t="str">
        <f>"102-38-17"</f>
        <v>102-38-17</v>
      </c>
      <c r="F946" t="s">
        <v>27</v>
      </c>
      <c r="G946" t="s">
        <v>28</v>
      </c>
      <c r="H946">
        <v>1</v>
      </c>
      <c r="Q946">
        <v>0</v>
      </c>
      <c r="R946">
        <v>1</v>
      </c>
      <c r="S946">
        <v>1</v>
      </c>
      <c r="T946">
        <v>0</v>
      </c>
      <c r="U946">
        <v>1</v>
      </c>
      <c r="V946">
        <v>0</v>
      </c>
    </row>
    <row r="947" spans="1:24" x14ac:dyDescent="0.25">
      <c r="A947" t="str">
        <f>"943"</f>
        <v>943</v>
      </c>
      <c r="B947" t="str">
        <f t="shared" si="50"/>
        <v>102</v>
      </c>
      <c r="C947" t="str">
        <f t="shared" si="52"/>
        <v>38</v>
      </c>
      <c r="D947" t="str">
        <f>"7"</f>
        <v>7</v>
      </c>
      <c r="E947" t="str">
        <f>"102-38-7"</f>
        <v>102-38-7</v>
      </c>
      <c r="F947" t="s">
        <v>27</v>
      </c>
      <c r="G947" t="s">
        <v>28</v>
      </c>
      <c r="H947">
        <v>1</v>
      </c>
      <c r="Q947">
        <v>0</v>
      </c>
      <c r="R947">
        <v>1</v>
      </c>
      <c r="S947">
        <v>0</v>
      </c>
      <c r="T947">
        <v>1</v>
      </c>
      <c r="U947">
        <v>0</v>
      </c>
      <c r="V947">
        <v>1</v>
      </c>
    </row>
    <row r="948" spans="1:24" x14ac:dyDescent="0.25">
      <c r="A948" t="str">
        <f>"944"</f>
        <v>944</v>
      </c>
      <c r="B948" t="str">
        <f t="shared" si="50"/>
        <v>102</v>
      </c>
      <c r="C948" t="str">
        <f t="shared" si="52"/>
        <v>38</v>
      </c>
      <c r="D948" t="str">
        <f>"22"</f>
        <v>22</v>
      </c>
      <c r="E948" t="str">
        <f>"102-38-22"</f>
        <v>102-38-22</v>
      </c>
      <c r="F948" t="s">
        <v>27</v>
      </c>
      <c r="G948" t="s">
        <v>28</v>
      </c>
      <c r="H948">
        <v>1</v>
      </c>
      <c r="Q948">
        <v>1</v>
      </c>
      <c r="R948">
        <v>0</v>
      </c>
      <c r="S948">
        <v>0</v>
      </c>
      <c r="T948">
        <v>1</v>
      </c>
      <c r="U948">
        <v>0</v>
      </c>
      <c r="V948">
        <v>1</v>
      </c>
    </row>
    <row r="949" spans="1:24" x14ac:dyDescent="0.25">
      <c r="A949" t="str">
        <f>"945"</f>
        <v>945</v>
      </c>
      <c r="B949" t="str">
        <f t="shared" si="50"/>
        <v>102</v>
      </c>
      <c r="C949" t="str">
        <f t="shared" si="52"/>
        <v>38</v>
      </c>
      <c r="D949" t="str">
        <f>"18"</f>
        <v>18</v>
      </c>
      <c r="E949" t="str">
        <f>"102-38-18"</f>
        <v>102-38-18</v>
      </c>
      <c r="F949" t="s">
        <v>27</v>
      </c>
      <c r="G949" t="s">
        <v>28</v>
      </c>
      <c r="H949">
        <v>1</v>
      </c>
      <c r="Q949">
        <v>1</v>
      </c>
      <c r="R949">
        <v>0</v>
      </c>
      <c r="S949">
        <v>0</v>
      </c>
      <c r="T949">
        <v>1</v>
      </c>
      <c r="U949">
        <v>0</v>
      </c>
      <c r="V949">
        <v>1</v>
      </c>
    </row>
    <row r="950" spans="1:24" x14ac:dyDescent="0.25">
      <c r="A950" t="str">
        <f>"946"</f>
        <v>946</v>
      </c>
      <c r="B950" t="str">
        <f t="shared" si="50"/>
        <v>102</v>
      </c>
      <c r="C950" t="str">
        <f t="shared" si="52"/>
        <v>38</v>
      </c>
      <c r="D950" t="str">
        <f>"10"</f>
        <v>10</v>
      </c>
      <c r="E950" t="str">
        <f>"102-38-10"</f>
        <v>102-38-10</v>
      </c>
      <c r="F950" t="s">
        <v>27</v>
      </c>
      <c r="G950" t="s">
        <v>28</v>
      </c>
      <c r="H950">
        <v>1</v>
      </c>
      <c r="Q950">
        <v>0</v>
      </c>
      <c r="R950">
        <v>1</v>
      </c>
      <c r="S950">
        <v>0</v>
      </c>
      <c r="T950">
        <v>1</v>
      </c>
      <c r="U950">
        <v>0</v>
      </c>
      <c r="V950">
        <v>1</v>
      </c>
    </row>
    <row r="951" spans="1:24" x14ac:dyDescent="0.25">
      <c r="A951" t="str">
        <f>"947"</f>
        <v>947</v>
      </c>
      <c r="B951" t="str">
        <f t="shared" si="50"/>
        <v>102</v>
      </c>
      <c r="C951" t="str">
        <f t="shared" si="52"/>
        <v>38</v>
      </c>
      <c r="D951" t="str">
        <f>"19"</f>
        <v>19</v>
      </c>
      <c r="E951" t="str">
        <f>"102-38-19"</f>
        <v>102-38-19</v>
      </c>
      <c r="F951" t="s">
        <v>27</v>
      </c>
      <c r="G951" t="s">
        <v>30</v>
      </c>
      <c r="H951">
        <v>2</v>
      </c>
      <c r="I951">
        <v>0</v>
      </c>
      <c r="J951">
        <v>0</v>
      </c>
      <c r="K951">
        <v>0</v>
      </c>
      <c r="L951">
        <v>1</v>
      </c>
      <c r="Q951">
        <v>0</v>
      </c>
      <c r="R951">
        <v>1</v>
      </c>
      <c r="S951">
        <v>0</v>
      </c>
      <c r="T951">
        <v>1</v>
      </c>
      <c r="U951">
        <v>0</v>
      </c>
      <c r="V951">
        <v>1</v>
      </c>
      <c r="W951">
        <v>0</v>
      </c>
      <c r="X951">
        <v>1</v>
      </c>
    </row>
    <row r="952" spans="1:24" x14ac:dyDescent="0.25">
      <c r="A952" t="str">
        <f>"948"</f>
        <v>948</v>
      </c>
      <c r="B952" t="str">
        <f t="shared" si="50"/>
        <v>102</v>
      </c>
      <c r="C952" t="str">
        <f t="shared" si="52"/>
        <v>38</v>
      </c>
      <c r="D952" t="str">
        <f>"9"</f>
        <v>9</v>
      </c>
      <c r="E952" t="str">
        <f>"102-38-9"</f>
        <v>102-38-9</v>
      </c>
      <c r="F952" t="s">
        <v>27</v>
      </c>
      <c r="G952" t="s">
        <v>28</v>
      </c>
      <c r="H952">
        <v>1</v>
      </c>
      <c r="Q952">
        <v>0</v>
      </c>
      <c r="R952">
        <v>1</v>
      </c>
      <c r="S952">
        <v>0</v>
      </c>
      <c r="T952">
        <v>1</v>
      </c>
      <c r="U952">
        <v>0</v>
      </c>
      <c r="V952">
        <v>1</v>
      </c>
    </row>
    <row r="953" spans="1:24" x14ac:dyDescent="0.25">
      <c r="A953" t="str">
        <f>"949"</f>
        <v>949</v>
      </c>
      <c r="B953" t="str">
        <f t="shared" si="50"/>
        <v>102</v>
      </c>
      <c r="C953" t="str">
        <f t="shared" si="52"/>
        <v>38</v>
      </c>
      <c r="D953" t="str">
        <f>"20"</f>
        <v>20</v>
      </c>
      <c r="E953" t="str">
        <f>"102-38-20"</f>
        <v>102-38-20</v>
      </c>
      <c r="F953" t="s">
        <v>27</v>
      </c>
      <c r="G953" t="s">
        <v>28</v>
      </c>
      <c r="H953">
        <v>1</v>
      </c>
      <c r="Q953">
        <v>1</v>
      </c>
      <c r="R953">
        <v>0</v>
      </c>
      <c r="S953">
        <v>1</v>
      </c>
      <c r="T953">
        <v>0</v>
      </c>
      <c r="U953">
        <v>0</v>
      </c>
      <c r="V953">
        <v>1</v>
      </c>
    </row>
    <row r="954" spans="1:24" x14ac:dyDescent="0.25">
      <c r="A954" t="str">
        <f>"950"</f>
        <v>950</v>
      </c>
      <c r="B954" t="str">
        <f t="shared" si="50"/>
        <v>102</v>
      </c>
      <c r="C954" t="str">
        <f t="shared" si="52"/>
        <v>38</v>
      </c>
      <c r="D954" t="str">
        <f>"8"</f>
        <v>8</v>
      </c>
      <c r="E954" t="str">
        <f>"102-38-8"</f>
        <v>102-38-8</v>
      </c>
      <c r="F954" t="s">
        <v>27</v>
      </c>
      <c r="G954" t="s">
        <v>28</v>
      </c>
      <c r="H954">
        <v>1</v>
      </c>
      <c r="Q954">
        <v>0</v>
      </c>
      <c r="R954">
        <v>1</v>
      </c>
      <c r="S954">
        <v>0</v>
      </c>
      <c r="T954">
        <v>1</v>
      </c>
      <c r="U954">
        <v>1</v>
      </c>
      <c r="V954">
        <v>0</v>
      </c>
    </row>
    <row r="955" spans="1:24" x14ac:dyDescent="0.25">
      <c r="A955" t="str">
        <f>"951"</f>
        <v>951</v>
      </c>
      <c r="B955" t="str">
        <f t="shared" si="50"/>
        <v>102</v>
      </c>
      <c r="C955" t="str">
        <f t="shared" ref="C955:C979" si="53">"39"</f>
        <v>39</v>
      </c>
      <c r="D955" t="str">
        <f>"21"</f>
        <v>21</v>
      </c>
      <c r="E955" t="str">
        <f>"102-39-21"</f>
        <v>102-39-21</v>
      </c>
      <c r="F955" t="s">
        <v>27</v>
      </c>
      <c r="G955" t="s">
        <v>28</v>
      </c>
      <c r="H955">
        <v>1</v>
      </c>
      <c r="Q955">
        <v>1</v>
      </c>
      <c r="R955">
        <v>0</v>
      </c>
      <c r="S955">
        <v>1</v>
      </c>
      <c r="T955">
        <v>0</v>
      </c>
      <c r="U955">
        <v>0</v>
      </c>
      <c r="V955">
        <v>1</v>
      </c>
    </row>
    <row r="956" spans="1:24" x14ac:dyDescent="0.25">
      <c r="A956" t="str">
        <f>"952"</f>
        <v>952</v>
      </c>
      <c r="B956" t="str">
        <f t="shared" si="50"/>
        <v>102</v>
      </c>
      <c r="C956" t="str">
        <f t="shared" si="53"/>
        <v>39</v>
      </c>
      <c r="D956" t="str">
        <f>"11"</f>
        <v>11</v>
      </c>
      <c r="E956" t="str">
        <f>"102-39-11"</f>
        <v>102-39-11</v>
      </c>
      <c r="F956" t="s">
        <v>27</v>
      </c>
      <c r="G956" t="s">
        <v>28</v>
      </c>
      <c r="H956">
        <v>1</v>
      </c>
      <c r="Q956">
        <v>1</v>
      </c>
      <c r="R956">
        <v>0</v>
      </c>
      <c r="S956">
        <v>1</v>
      </c>
      <c r="T956">
        <v>0</v>
      </c>
      <c r="U956">
        <v>1</v>
      </c>
      <c r="V956">
        <v>0</v>
      </c>
    </row>
    <row r="957" spans="1:24" x14ac:dyDescent="0.25">
      <c r="A957" t="str">
        <f>"953"</f>
        <v>953</v>
      </c>
      <c r="B957" t="str">
        <f t="shared" si="50"/>
        <v>102</v>
      </c>
      <c r="C957" t="str">
        <f t="shared" si="53"/>
        <v>39</v>
      </c>
      <c r="D957" t="str">
        <f>"1"</f>
        <v>1</v>
      </c>
      <c r="E957" t="str">
        <f>"102-39-1"</f>
        <v>102-39-1</v>
      </c>
      <c r="F957" t="s">
        <v>27</v>
      </c>
      <c r="G957" t="s">
        <v>28</v>
      </c>
      <c r="H957">
        <v>1</v>
      </c>
      <c r="Q957">
        <v>0</v>
      </c>
      <c r="R957">
        <v>1</v>
      </c>
      <c r="S957">
        <v>0</v>
      </c>
      <c r="T957">
        <v>1</v>
      </c>
      <c r="U957">
        <v>1</v>
      </c>
      <c r="V957">
        <v>0</v>
      </c>
    </row>
    <row r="958" spans="1:24" x14ac:dyDescent="0.25">
      <c r="A958" t="str">
        <f>"954"</f>
        <v>954</v>
      </c>
      <c r="B958" t="str">
        <f t="shared" si="50"/>
        <v>102</v>
      </c>
      <c r="C958" t="str">
        <f t="shared" si="53"/>
        <v>39</v>
      </c>
      <c r="D958" t="str">
        <f>"22"</f>
        <v>22</v>
      </c>
      <c r="E958" t="str">
        <f>"102-39-22"</f>
        <v>102-39-22</v>
      </c>
      <c r="F958" t="s">
        <v>27</v>
      </c>
      <c r="G958" t="s">
        <v>28</v>
      </c>
      <c r="H958">
        <v>1</v>
      </c>
      <c r="Q958">
        <v>1</v>
      </c>
      <c r="R958">
        <v>0</v>
      </c>
      <c r="S958">
        <v>0</v>
      </c>
      <c r="T958">
        <v>1</v>
      </c>
      <c r="U958">
        <v>0</v>
      </c>
      <c r="V958">
        <v>1</v>
      </c>
    </row>
    <row r="959" spans="1:24" x14ac:dyDescent="0.25">
      <c r="A959" t="str">
        <f>"955"</f>
        <v>955</v>
      </c>
      <c r="B959" t="str">
        <f t="shared" si="50"/>
        <v>102</v>
      </c>
      <c r="C959" t="str">
        <f t="shared" si="53"/>
        <v>39</v>
      </c>
      <c r="D959" t="str">
        <f>"2"</f>
        <v>2</v>
      </c>
      <c r="E959" t="str">
        <f>"102-39-2"</f>
        <v>102-39-2</v>
      </c>
      <c r="F959" t="s">
        <v>27</v>
      </c>
      <c r="G959" t="s">
        <v>28</v>
      </c>
      <c r="H959">
        <v>1</v>
      </c>
      <c r="Q959">
        <v>1</v>
      </c>
      <c r="R959">
        <v>0</v>
      </c>
      <c r="S959">
        <v>1</v>
      </c>
      <c r="T959">
        <v>0</v>
      </c>
      <c r="U959">
        <v>1</v>
      </c>
      <c r="V959">
        <v>0</v>
      </c>
    </row>
    <row r="960" spans="1:24" x14ac:dyDescent="0.25">
      <c r="A960" t="str">
        <f>"956"</f>
        <v>956</v>
      </c>
      <c r="B960" t="str">
        <f t="shared" si="50"/>
        <v>102</v>
      </c>
      <c r="C960" t="str">
        <f t="shared" si="53"/>
        <v>39</v>
      </c>
      <c r="D960" t="str">
        <f>"24"</f>
        <v>24</v>
      </c>
      <c r="E960" t="str">
        <f>"102-39-24"</f>
        <v>102-39-24</v>
      </c>
      <c r="F960" t="s">
        <v>27</v>
      </c>
      <c r="G960" t="s">
        <v>28</v>
      </c>
      <c r="H960">
        <v>1</v>
      </c>
      <c r="Q960">
        <v>1</v>
      </c>
      <c r="R960">
        <v>0</v>
      </c>
      <c r="S960">
        <v>1</v>
      </c>
      <c r="T960">
        <v>0</v>
      </c>
      <c r="U960">
        <v>0</v>
      </c>
      <c r="V960">
        <v>1</v>
      </c>
    </row>
    <row r="961" spans="1:22" x14ac:dyDescent="0.25">
      <c r="A961" t="str">
        <f>"957"</f>
        <v>957</v>
      </c>
      <c r="B961" t="str">
        <f t="shared" si="50"/>
        <v>102</v>
      </c>
      <c r="C961" t="str">
        <f t="shared" si="53"/>
        <v>39</v>
      </c>
      <c r="D961" t="str">
        <f>"13"</f>
        <v>13</v>
      </c>
      <c r="E961" t="str">
        <f>"102-39-13"</f>
        <v>102-39-13</v>
      </c>
      <c r="F961" t="s">
        <v>27</v>
      </c>
      <c r="G961" t="s">
        <v>28</v>
      </c>
      <c r="H961">
        <v>1</v>
      </c>
      <c r="Q961">
        <v>0</v>
      </c>
      <c r="R961">
        <v>1</v>
      </c>
      <c r="S961">
        <v>0</v>
      </c>
      <c r="T961">
        <v>1</v>
      </c>
      <c r="U961">
        <v>0</v>
      </c>
      <c r="V961">
        <v>1</v>
      </c>
    </row>
    <row r="962" spans="1:22" x14ac:dyDescent="0.25">
      <c r="A962" t="str">
        <f>"958"</f>
        <v>958</v>
      </c>
      <c r="B962" t="str">
        <f t="shared" si="50"/>
        <v>102</v>
      </c>
      <c r="C962" t="str">
        <f t="shared" si="53"/>
        <v>39</v>
      </c>
      <c r="D962" t="str">
        <f>"3"</f>
        <v>3</v>
      </c>
      <c r="E962" t="str">
        <f>"102-39-3"</f>
        <v>102-39-3</v>
      </c>
      <c r="F962" t="s">
        <v>27</v>
      </c>
      <c r="G962" t="s">
        <v>28</v>
      </c>
      <c r="H962">
        <v>1</v>
      </c>
      <c r="Q962">
        <v>0</v>
      </c>
      <c r="R962">
        <v>1</v>
      </c>
      <c r="S962">
        <v>0</v>
      </c>
      <c r="T962">
        <v>1</v>
      </c>
      <c r="U962">
        <v>0</v>
      </c>
      <c r="V962">
        <v>1</v>
      </c>
    </row>
    <row r="963" spans="1:22" x14ac:dyDescent="0.25">
      <c r="A963" t="str">
        <f>"959"</f>
        <v>959</v>
      </c>
      <c r="B963" t="str">
        <f t="shared" si="50"/>
        <v>102</v>
      </c>
      <c r="C963" t="str">
        <f t="shared" si="53"/>
        <v>39</v>
      </c>
      <c r="D963" t="str">
        <f>"23"</f>
        <v>23</v>
      </c>
      <c r="E963" t="str">
        <f>"102-39-23"</f>
        <v>102-39-23</v>
      </c>
      <c r="F963" t="s">
        <v>27</v>
      </c>
      <c r="G963" t="s">
        <v>28</v>
      </c>
      <c r="H963">
        <v>1</v>
      </c>
      <c r="Q963">
        <v>1</v>
      </c>
      <c r="R963">
        <v>0</v>
      </c>
      <c r="S963">
        <v>1</v>
      </c>
      <c r="T963">
        <v>0</v>
      </c>
      <c r="U963">
        <v>1</v>
      </c>
      <c r="V963">
        <v>0</v>
      </c>
    </row>
    <row r="964" spans="1:22" x14ac:dyDescent="0.25">
      <c r="A964" t="str">
        <f>"960"</f>
        <v>960</v>
      </c>
      <c r="B964" t="str">
        <f t="shared" si="50"/>
        <v>102</v>
      </c>
      <c r="C964" t="str">
        <f t="shared" si="53"/>
        <v>39</v>
      </c>
      <c r="D964" t="str">
        <f>"14"</f>
        <v>14</v>
      </c>
      <c r="E964" t="str">
        <f>"102-39-14"</f>
        <v>102-39-14</v>
      </c>
      <c r="F964" t="s">
        <v>27</v>
      </c>
      <c r="G964" t="s">
        <v>28</v>
      </c>
      <c r="H964">
        <v>1</v>
      </c>
      <c r="Q964">
        <v>1</v>
      </c>
      <c r="R964">
        <v>0</v>
      </c>
      <c r="S964">
        <v>0</v>
      </c>
      <c r="T964">
        <v>1</v>
      </c>
      <c r="U964">
        <v>1</v>
      </c>
      <c r="V964">
        <v>0</v>
      </c>
    </row>
    <row r="965" spans="1:22" x14ac:dyDescent="0.25">
      <c r="A965" t="str">
        <f>"961"</f>
        <v>961</v>
      </c>
      <c r="B965" t="str">
        <f t="shared" ref="B965:B1028" si="54">"102"</f>
        <v>102</v>
      </c>
      <c r="C965" t="str">
        <f t="shared" si="53"/>
        <v>39</v>
      </c>
      <c r="D965" t="str">
        <f>"4"</f>
        <v>4</v>
      </c>
      <c r="E965" t="str">
        <f>"102-39-4"</f>
        <v>102-39-4</v>
      </c>
      <c r="F965" t="s">
        <v>27</v>
      </c>
      <c r="G965" t="s">
        <v>28</v>
      </c>
      <c r="H965">
        <v>1</v>
      </c>
      <c r="Q965">
        <v>0</v>
      </c>
      <c r="R965">
        <v>1</v>
      </c>
      <c r="S965">
        <v>0</v>
      </c>
      <c r="T965">
        <v>1</v>
      </c>
      <c r="U965">
        <v>1</v>
      </c>
      <c r="V965">
        <v>0</v>
      </c>
    </row>
    <row r="966" spans="1:22" x14ac:dyDescent="0.25">
      <c r="A966" t="str">
        <f>"962"</f>
        <v>962</v>
      </c>
      <c r="B966" t="str">
        <f t="shared" si="54"/>
        <v>102</v>
      </c>
      <c r="C966" t="str">
        <f t="shared" si="53"/>
        <v>39</v>
      </c>
      <c r="D966" t="str">
        <f>"15"</f>
        <v>15</v>
      </c>
      <c r="E966" t="str">
        <f>"102-39-15"</f>
        <v>102-39-15</v>
      </c>
      <c r="F966" t="s">
        <v>27</v>
      </c>
      <c r="G966" t="s">
        <v>28</v>
      </c>
      <c r="H966">
        <v>1</v>
      </c>
      <c r="Q966">
        <v>0</v>
      </c>
      <c r="R966">
        <v>1</v>
      </c>
      <c r="S966">
        <v>0</v>
      </c>
      <c r="T966">
        <v>1</v>
      </c>
      <c r="U966">
        <v>1</v>
      </c>
      <c r="V966">
        <v>0</v>
      </c>
    </row>
    <row r="967" spans="1:22" x14ac:dyDescent="0.25">
      <c r="A967" t="str">
        <f>"963"</f>
        <v>963</v>
      </c>
      <c r="B967" t="str">
        <f t="shared" si="54"/>
        <v>102</v>
      </c>
      <c r="C967" t="str">
        <f t="shared" si="53"/>
        <v>39</v>
      </c>
      <c r="D967" t="str">
        <f>"5"</f>
        <v>5</v>
      </c>
      <c r="E967" t="str">
        <f>"102-39-5"</f>
        <v>102-39-5</v>
      </c>
      <c r="F967" t="s">
        <v>27</v>
      </c>
      <c r="G967" t="s">
        <v>28</v>
      </c>
      <c r="H967">
        <v>1</v>
      </c>
      <c r="Q967">
        <v>1</v>
      </c>
      <c r="R967">
        <v>0</v>
      </c>
      <c r="S967">
        <v>1</v>
      </c>
      <c r="T967">
        <v>0</v>
      </c>
      <c r="U967">
        <v>1</v>
      </c>
      <c r="V967">
        <v>0</v>
      </c>
    </row>
    <row r="968" spans="1:22" x14ac:dyDescent="0.25">
      <c r="A968" t="str">
        <f>"964"</f>
        <v>964</v>
      </c>
      <c r="B968" t="str">
        <f t="shared" si="54"/>
        <v>102</v>
      </c>
      <c r="C968" t="str">
        <f t="shared" si="53"/>
        <v>39</v>
      </c>
      <c r="D968" t="str">
        <f>"16"</f>
        <v>16</v>
      </c>
      <c r="E968" t="str">
        <f>"102-39-16"</f>
        <v>102-39-16</v>
      </c>
      <c r="F968" t="s">
        <v>27</v>
      </c>
      <c r="G968" t="s">
        <v>28</v>
      </c>
      <c r="H968">
        <v>1</v>
      </c>
      <c r="Q968">
        <v>0</v>
      </c>
      <c r="R968">
        <v>1</v>
      </c>
      <c r="S968">
        <v>0</v>
      </c>
      <c r="T968">
        <v>1</v>
      </c>
      <c r="U968">
        <v>0</v>
      </c>
      <c r="V968">
        <v>1</v>
      </c>
    </row>
    <row r="969" spans="1:22" x14ac:dyDescent="0.25">
      <c r="A969" t="str">
        <f>"965"</f>
        <v>965</v>
      </c>
      <c r="B969" t="str">
        <f t="shared" si="54"/>
        <v>102</v>
      </c>
      <c r="C969" t="str">
        <f t="shared" si="53"/>
        <v>39</v>
      </c>
      <c r="D969" t="str">
        <f>"6"</f>
        <v>6</v>
      </c>
      <c r="E969" t="str">
        <f>"102-39-6"</f>
        <v>102-39-6</v>
      </c>
      <c r="F969" t="s">
        <v>27</v>
      </c>
      <c r="G969" t="s">
        <v>28</v>
      </c>
      <c r="H969">
        <v>1</v>
      </c>
      <c r="Q969">
        <v>0</v>
      </c>
      <c r="R969">
        <v>1</v>
      </c>
      <c r="S969">
        <v>0</v>
      </c>
      <c r="T969">
        <v>1</v>
      </c>
      <c r="U969">
        <v>1</v>
      </c>
      <c r="V969">
        <v>0</v>
      </c>
    </row>
    <row r="970" spans="1:22" x14ac:dyDescent="0.25">
      <c r="A970" t="str">
        <f>"966"</f>
        <v>966</v>
      </c>
      <c r="B970" t="str">
        <f t="shared" si="54"/>
        <v>102</v>
      </c>
      <c r="C970" t="str">
        <f t="shared" si="53"/>
        <v>39</v>
      </c>
      <c r="D970" t="str">
        <f>"25"</f>
        <v>25</v>
      </c>
      <c r="E970" t="str">
        <f>"102-39-25"</f>
        <v>102-39-25</v>
      </c>
      <c r="F970" t="s">
        <v>27</v>
      </c>
      <c r="G970" t="s">
        <v>28</v>
      </c>
      <c r="H970">
        <v>1</v>
      </c>
      <c r="Q970">
        <v>0</v>
      </c>
      <c r="R970">
        <v>1</v>
      </c>
      <c r="S970">
        <v>0</v>
      </c>
      <c r="T970">
        <v>1</v>
      </c>
      <c r="U970">
        <v>0</v>
      </c>
      <c r="V970">
        <v>1</v>
      </c>
    </row>
    <row r="971" spans="1:22" x14ac:dyDescent="0.25">
      <c r="A971" t="str">
        <f>"967"</f>
        <v>967</v>
      </c>
      <c r="B971" t="str">
        <f t="shared" si="54"/>
        <v>102</v>
      </c>
      <c r="C971" t="str">
        <f t="shared" si="53"/>
        <v>39</v>
      </c>
      <c r="D971" t="str">
        <f>"17"</f>
        <v>17</v>
      </c>
      <c r="E971" t="str">
        <f>"102-39-17"</f>
        <v>102-39-17</v>
      </c>
      <c r="F971" t="s">
        <v>27</v>
      </c>
      <c r="G971" t="s">
        <v>28</v>
      </c>
      <c r="H971">
        <v>1</v>
      </c>
      <c r="Q971">
        <v>0</v>
      </c>
      <c r="R971">
        <v>1</v>
      </c>
      <c r="S971">
        <v>0</v>
      </c>
      <c r="T971">
        <v>1</v>
      </c>
      <c r="U971">
        <v>1</v>
      </c>
      <c r="V971">
        <v>0</v>
      </c>
    </row>
    <row r="972" spans="1:22" x14ac:dyDescent="0.25">
      <c r="A972" t="str">
        <f>"968"</f>
        <v>968</v>
      </c>
      <c r="B972" t="str">
        <f t="shared" si="54"/>
        <v>102</v>
      </c>
      <c r="C972" t="str">
        <f t="shared" si="53"/>
        <v>39</v>
      </c>
      <c r="D972" t="str">
        <f>"10"</f>
        <v>10</v>
      </c>
      <c r="E972" t="str">
        <f>"102-39-10"</f>
        <v>102-39-10</v>
      </c>
      <c r="F972" t="s">
        <v>27</v>
      </c>
      <c r="G972" t="s">
        <v>28</v>
      </c>
      <c r="H972">
        <v>1</v>
      </c>
      <c r="Q972">
        <v>1</v>
      </c>
      <c r="R972">
        <v>0</v>
      </c>
      <c r="S972">
        <v>1</v>
      </c>
      <c r="T972">
        <v>0</v>
      </c>
      <c r="U972">
        <v>1</v>
      </c>
      <c r="V972">
        <v>0</v>
      </c>
    </row>
    <row r="973" spans="1:22" x14ac:dyDescent="0.25">
      <c r="A973" t="str">
        <f>"969"</f>
        <v>969</v>
      </c>
      <c r="B973" t="str">
        <f t="shared" si="54"/>
        <v>102</v>
      </c>
      <c r="C973" t="str">
        <f t="shared" si="53"/>
        <v>39</v>
      </c>
      <c r="D973" t="str">
        <f>"18"</f>
        <v>18</v>
      </c>
      <c r="E973" t="str">
        <f>"102-39-18"</f>
        <v>102-39-18</v>
      </c>
      <c r="F973" t="s">
        <v>27</v>
      </c>
      <c r="G973" t="s">
        <v>28</v>
      </c>
      <c r="H973">
        <v>1</v>
      </c>
      <c r="Q973">
        <v>0</v>
      </c>
      <c r="R973">
        <v>1</v>
      </c>
      <c r="S973">
        <v>0</v>
      </c>
      <c r="T973">
        <v>1</v>
      </c>
      <c r="U973">
        <v>0</v>
      </c>
      <c r="V973">
        <v>1</v>
      </c>
    </row>
    <row r="974" spans="1:22" x14ac:dyDescent="0.25">
      <c r="A974" t="str">
        <f>"970"</f>
        <v>970</v>
      </c>
      <c r="B974" t="str">
        <f t="shared" si="54"/>
        <v>102</v>
      </c>
      <c r="C974" t="str">
        <f t="shared" si="53"/>
        <v>39</v>
      </c>
      <c r="D974" t="str">
        <f>"9"</f>
        <v>9</v>
      </c>
      <c r="E974" t="str">
        <f>"102-39-9"</f>
        <v>102-39-9</v>
      </c>
      <c r="F974" t="s">
        <v>27</v>
      </c>
      <c r="G974" t="s">
        <v>28</v>
      </c>
      <c r="H974">
        <v>1</v>
      </c>
      <c r="Q974">
        <v>0</v>
      </c>
      <c r="R974">
        <v>1</v>
      </c>
      <c r="S974">
        <v>0</v>
      </c>
      <c r="T974">
        <v>1</v>
      </c>
      <c r="U974">
        <v>0</v>
      </c>
      <c r="V974">
        <v>1</v>
      </c>
    </row>
    <row r="975" spans="1:22" x14ac:dyDescent="0.25">
      <c r="A975" t="str">
        <f>"971"</f>
        <v>971</v>
      </c>
      <c r="B975" t="str">
        <f t="shared" si="54"/>
        <v>102</v>
      </c>
      <c r="C975" t="str">
        <f t="shared" si="53"/>
        <v>39</v>
      </c>
      <c r="D975" t="str">
        <f>"19"</f>
        <v>19</v>
      </c>
      <c r="E975" t="str">
        <f>"102-39-19"</f>
        <v>102-39-19</v>
      </c>
      <c r="F975" t="s">
        <v>27</v>
      </c>
      <c r="G975" t="s">
        <v>28</v>
      </c>
      <c r="H975">
        <v>1</v>
      </c>
      <c r="Q975">
        <v>0</v>
      </c>
      <c r="R975">
        <v>1</v>
      </c>
      <c r="S975">
        <v>0</v>
      </c>
      <c r="T975">
        <v>1</v>
      </c>
      <c r="U975">
        <v>0</v>
      </c>
      <c r="V975">
        <v>1</v>
      </c>
    </row>
    <row r="976" spans="1:22" x14ac:dyDescent="0.25">
      <c r="A976" t="str">
        <f>"972"</f>
        <v>972</v>
      </c>
      <c r="B976" t="str">
        <f t="shared" si="54"/>
        <v>102</v>
      </c>
      <c r="C976" t="str">
        <f t="shared" si="53"/>
        <v>39</v>
      </c>
      <c r="D976" t="str">
        <f>"7"</f>
        <v>7</v>
      </c>
      <c r="E976" t="str">
        <f>"102-39-7"</f>
        <v>102-39-7</v>
      </c>
      <c r="F976" t="s">
        <v>27</v>
      </c>
      <c r="G976" t="s">
        <v>28</v>
      </c>
      <c r="H976">
        <v>1</v>
      </c>
      <c r="Q976">
        <v>1</v>
      </c>
      <c r="R976">
        <v>0</v>
      </c>
      <c r="S976">
        <v>0</v>
      </c>
      <c r="T976">
        <v>1</v>
      </c>
      <c r="U976">
        <v>0</v>
      </c>
      <c r="V976">
        <v>1</v>
      </c>
    </row>
    <row r="977" spans="1:22" x14ac:dyDescent="0.25">
      <c r="A977" t="str">
        <f>"973"</f>
        <v>973</v>
      </c>
      <c r="B977" t="str">
        <f t="shared" si="54"/>
        <v>102</v>
      </c>
      <c r="C977" t="str">
        <f t="shared" si="53"/>
        <v>39</v>
      </c>
      <c r="D977" t="str">
        <f>"20"</f>
        <v>20</v>
      </c>
      <c r="E977" t="str">
        <f>"102-39-20"</f>
        <v>102-39-20</v>
      </c>
      <c r="F977" t="s">
        <v>27</v>
      </c>
      <c r="G977" t="s">
        <v>28</v>
      </c>
      <c r="H977">
        <v>1</v>
      </c>
      <c r="Q977">
        <v>0</v>
      </c>
      <c r="R977">
        <v>1</v>
      </c>
      <c r="S977">
        <v>0</v>
      </c>
      <c r="T977">
        <v>1</v>
      </c>
      <c r="U977">
        <v>0</v>
      </c>
      <c r="V977">
        <v>1</v>
      </c>
    </row>
    <row r="978" spans="1:22" x14ac:dyDescent="0.25">
      <c r="A978" t="str">
        <f>"974"</f>
        <v>974</v>
      </c>
      <c r="B978" t="str">
        <f t="shared" si="54"/>
        <v>102</v>
      </c>
      <c r="C978" t="str">
        <f t="shared" si="53"/>
        <v>39</v>
      </c>
      <c r="D978" t="str">
        <f>"8"</f>
        <v>8</v>
      </c>
      <c r="E978" t="str">
        <f>"102-39-8"</f>
        <v>102-39-8</v>
      </c>
      <c r="F978" t="s">
        <v>27</v>
      </c>
      <c r="G978" t="s">
        <v>28</v>
      </c>
      <c r="H978">
        <v>1</v>
      </c>
      <c r="Q978">
        <v>0</v>
      </c>
      <c r="R978">
        <v>1</v>
      </c>
      <c r="S978">
        <v>0</v>
      </c>
      <c r="T978">
        <v>1</v>
      </c>
      <c r="U978">
        <v>1</v>
      </c>
      <c r="V978">
        <v>0</v>
      </c>
    </row>
    <row r="979" spans="1:22" x14ac:dyDescent="0.25">
      <c r="A979" t="str">
        <f>"975"</f>
        <v>975</v>
      </c>
      <c r="B979" t="str">
        <f t="shared" si="54"/>
        <v>102</v>
      </c>
      <c r="C979" t="str">
        <f t="shared" si="53"/>
        <v>39</v>
      </c>
      <c r="D979" t="str">
        <f>"12"</f>
        <v>12</v>
      </c>
      <c r="E979" t="str">
        <f>"102-39-12"</f>
        <v>102-39-12</v>
      </c>
      <c r="F979" t="s">
        <v>27</v>
      </c>
      <c r="G979" t="s">
        <v>28</v>
      </c>
      <c r="H979">
        <v>1</v>
      </c>
      <c r="Q979">
        <v>0</v>
      </c>
      <c r="R979">
        <v>1</v>
      </c>
      <c r="S979">
        <v>0</v>
      </c>
      <c r="T979">
        <v>1</v>
      </c>
      <c r="U979">
        <v>1</v>
      </c>
      <c r="V979">
        <v>0</v>
      </c>
    </row>
    <row r="980" spans="1:22" x14ac:dyDescent="0.25">
      <c r="A980" t="str">
        <f>"976"</f>
        <v>976</v>
      </c>
      <c r="B980" t="str">
        <f t="shared" si="54"/>
        <v>102</v>
      </c>
      <c r="C980" t="str">
        <f t="shared" ref="C980:C1004" si="55">"40"</f>
        <v>40</v>
      </c>
      <c r="D980" t="str">
        <f>"25"</f>
        <v>25</v>
      </c>
      <c r="E980" t="str">
        <f>"102-40-25"</f>
        <v>102-40-25</v>
      </c>
      <c r="F980" t="s">
        <v>27</v>
      </c>
      <c r="G980" t="s">
        <v>28</v>
      </c>
      <c r="H980">
        <v>1</v>
      </c>
      <c r="Q980">
        <v>0</v>
      </c>
      <c r="R980">
        <v>1</v>
      </c>
      <c r="S980">
        <v>0</v>
      </c>
      <c r="T980">
        <v>1</v>
      </c>
      <c r="U980">
        <v>0</v>
      </c>
      <c r="V980">
        <v>1</v>
      </c>
    </row>
    <row r="981" spans="1:22" x14ac:dyDescent="0.25">
      <c r="A981" t="str">
        <f>"977"</f>
        <v>977</v>
      </c>
      <c r="B981" t="str">
        <f t="shared" si="54"/>
        <v>102</v>
      </c>
      <c r="C981" t="str">
        <f t="shared" si="55"/>
        <v>40</v>
      </c>
      <c r="D981" t="str">
        <f>"21"</f>
        <v>21</v>
      </c>
      <c r="E981" t="str">
        <f>"102-40-21"</f>
        <v>102-40-21</v>
      </c>
      <c r="F981" t="s">
        <v>27</v>
      </c>
      <c r="G981" t="s">
        <v>28</v>
      </c>
      <c r="H981">
        <v>1</v>
      </c>
      <c r="Q981">
        <v>0</v>
      </c>
      <c r="R981">
        <v>1</v>
      </c>
      <c r="S981">
        <v>0</v>
      </c>
      <c r="T981">
        <v>1</v>
      </c>
      <c r="U981">
        <v>0</v>
      </c>
      <c r="V981">
        <v>1</v>
      </c>
    </row>
    <row r="982" spans="1:22" x14ac:dyDescent="0.25">
      <c r="A982" t="str">
        <f>"978"</f>
        <v>978</v>
      </c>
      <c r="B982" t="str">
        <f t="shared" si="54"/>
        <v>102</v>
      </c>
      <c r="C982" t="str">
        <f t="shared" si="55"/>
        <v>40</v>
      </c>
      <c r="D982" t="str">
        <f>"11"</f>
        <v>11</v>
      </c>
      <c r="E982" t="str">
        <f>"102-40-11"</f>
        <v>102-40-11</v>
      </c>
      <c r="F982" t="s">
        <v>27</v>
      </c>
      <c r="G982" t="s">
        <v>28</v>
      </c>
      <c r="H982">
        <v>1</v>
      </c>
      <c r="Q982">
        <v>1</v>
      </c>
      <c r="R982">
        <v>0</v>
      </c>
      <c r="S982">
        <v>0</v>
      </c>
      <c r="T982">
        <v>1</v>
      </c>
      <c r="U982">
        <v>1</v>
      </c>
      <c r="V982">
        <v>0</v>
      </c>
    </row>
    <row r="983" spans="1:22" x14ac:dyDescent="0.25">
      <c r="A983" t="str">
        <f>"979"</f>
        <v>979</v>
      </c>
      <c r="B983" t="str">
        <f t="shared" si="54"/>
        <v>102</v>
      </c>
      <c r="C983" t="str">
        <f t="shared" si="55"/>
        <v>40</v>
      </c>
      <c r="D983" t="str">
        <f>"5"</f>
        <v>5</v>
      </c>
      <c r="E983" t="str">
        <f>"102-40-5"</f>
        <v>102-40-5</v>
      </c>
      <c r="F983" t="s">
        <v>27</v>
      </c>
      <c r="G983" t="s">
        <v>28</v>
      </c>
      <c r="H983">
        <v>1</v>
      </c>
      <c r="Q983">
        <v>1</v>
      </c>
      <c r="R983">
        <v>0</v>
      </c>
      <c r="S983">
        <v>1</v>
      </c>
      <c r="T983">
        <v>0</v>
      </c>
      <c r="U983">
        <v>1</v>
      </c>
      <c r="V983">
        <v>0</v>
      </c>
    </row>
    <row r="984" spans="1:22" x14ac:dyDescent="0.25">
      <c r="A984" t="str">
        <f>"980"</f>
        <v>980</v>
      </c>
      <c r="B984" t="str">
        <f t="shared" si="54"/>
        <v>102</v>
      </c>
      <c r="C984" t="str">
        <f t="shared" si="55"/>
        <v>40</v>
      </c>
      <c r="D984" t="str">
        <f>"22"</f>
        <v>22</v>
      </c>
      <c r="E984" t="str">
        <f>"102-40-22"</f>
        <v>102-40-22</v>
      </c>
      <c r="F984" t="s">
        <v>27</v>
      </c>
      <c r="G984" t="s">
        <v>28</v>
      </c>
      <c r="H984">
        <v>1</v>
      </c>
      <c r="Q984">
        <v>1</v>
      </c>
      <c r="R984">
        <v>0</v>
      </c>
      <c r="S984">
        <v>1</v>
      </c>
      <c r="T984">
        <v>0</v>
      </c>
      <c r="U984">
        <v>1</v>
      </c>
      <c r="V984">
        <v>0</v>
      </c>
    </row>
    <row r="985" spans="1:22" x14ac:dyDescent="0.25">
      <c r="A985" t="str">
        <f>"981"</f>
        <v>981</v>
      </c>
      <c r="B985" t="str">
        <f t="shared" si="54"/>
        <v>102</v>
      </c>
      <c r="C985" t="str">
        <f t="shared" si="55"/>
        <v>40</v>
      </c>
      <c r="D985" t="str">
        <f>"12"</f>
        <v>12</v>
      </c>
      <c r="E985" t="str">
        <f>"102-40-12"</f>
        <v>102-40-12</v>
      </c>
      <c r="F985" t="s">
        <v>27</v>
      </c>
      <c r="G985" t="s">
        <v>28</v>
      </c>
      <c r="H985">
        <v>1</v>
      </c>
      <c r="Q985">
        <v>0</v>
      </c>
      <c r="R985">
        <v>0</v>
      </c>
      <c r="S985">
        <v>0</v>
      </c>
      <c r="T985">
        <v>0</v>
      </c>
      <c r="U985">
        <v>1</v>
      </c>
      <c r="V985">
        <v>0</v>
      </c>
    </row>
    <row r="986" spans="1:22" x14ac:dyDescent="0.25">
      <c r="A986" t="str">
        <f>"982"</f>
        <v>982</v>
      </c>
      <c r="B986" t="str">
        <f t="shared" si="54"/>
        <v>102</v>
      </c>
      <c r="C986" t="str">
        <f t="shared" si="55"/>
        <v>40</v>
      </c>
      <c r="D986" t="str">
        <f>"4"</f>
        <v>4</v>
      </c>
      <c r="E986" t="str">
        <f>"102-40-4"</f>
        <v>102-40-4</v>
      </c>
      <c r="F986" t="s">
        <v>27</v>
      </c>
      <c r="G986" t="s">
        <v>28</v>
      </c>
      <c r="H986">
        <v>1</v>
      </c>
      <c r="Q986">
        <v>0</v>
      </c>
      <c r="R986">
        <v>1</v>
      </c>
      <c r="S986">
        <v>0</v>
      </c>
      <c r="T986">
        <v>1</v>
      </c>
      <c r="U986">
        <v>0</v>
      </c>
      <c r="V986">
        <v>1</v>
      </c>
    </row>
    <row r="987" spans="1:22" x14ac:dyDescent="0.25">
      <c r="A987" t="str">
        <f>"983"</f>
        <v>983</v>
      </c>
      <c r="B987" t="str">
        <f t="shared" si="54"/>
        <v>102</v>
      </c>
      <c r="C987" t="str">
        <f t="shared" si="55"/>
        <v>40</v>
      </c>
      <c r="D987" t="str">
        <f>"24"</f>
        <v>24</v>
      </c>
      <c r="E987" t="str">
        <f>"102-40-24"</f>
        <v>102-40-24</v>
      </c>
      <c r="F987" t="s">
        <v>27</v>
      </c>
      <c r="G987" t="s">
        <v>28</v>
      </c>
      <c r="H987">
        <v>1</v>
      </c>
      <c r="Q987">
        <v>0</v>
      </c>
      <c r="R987">
        <v>1</v>
      </c>
      <c r="S987">
        <v>0</v>
      </c>
      <c r="T987">
        <v>1</v>
      </c>
      <c r="U987">
        <v>0</v>
      </c>
      <c r="V987">
        <v>1</v>
      </c>
    </row>
    <row r="988" spans="1:22" x14ac:dyDescent="0.25">
      <c r="A988" t="str">
        <f>"984"</f>
        <v>984</v>
      </c>
      <c r="B988" t="str">
        <f t="shared" si="54"/>
        <v>102</v>
      </c>
      <c r="C988" t="str">
        <f t="shared" si="55"/>
        <v>40</v>
      </c>
      <c r="D988" t="str">
        <f>"13"</f>
        <v>13</v>
      </c>
      <c r="E988" t="str">
        <f>"102-40-13"</f>
        <v>102-40-13</v>
      </c>
      <c r="F988" t="s">
        <v>27</v>
      </c>
      <c r="G988" t="s">
        <v>28</v>
      </c>
      <c r="H988">
        <v>1</v>
      </c>
      <c r="Q988">
        <v>0</v>
      </c>
      <c r="R988">
        <v>1</v>
      </c>
      <c r="S988">
        <v>0</v>
      </c>
      <c r="T988">
        <v>1</v>
      </c>
      <c r="U988">
        <v>0</v>
      </c>
      <c r="V988">
        <v>1</v>
      </c>
    </row>
    <row r="989" spans="1:22" x14ac:dyDescent="0.25">
      <c r="A989" t="str">
        <f>"985"</f>
        <v>985</v>
      </c>
      <c r="B989" t="str">
        <f t="shared" si="54"/>
        <v>102</v>
      </c>
      <c r="C989" t="str">
        <f t="shared" si="55"/>
        <v>40</v>
      </c>
      <c r="D989" t="str">
        <f>"10"</f>
        <v>10</v>
      </c>
      <c r="E989" t="str">
        <f>"102-40-10"</f>
        <v>102-40-10</v>
      </c>
      <c r="F989" t="s">
        <v>27</v>
      </c>
      <c r="G989" t="s">
        <v>28</v>
      </c>
      <c r="H989">
        <v>1</v>
      </c>
      <c r="Q989">
        <v>1</v>
      </c>
      <c r="R989">
        <v>0</v>
      </c>
      <c r="S989">
        <v>1</v>
      </c>
      <c r="T989">
        <v>0</v>
      </c>
      <c r="U989">
        <v>1</v>
      </c>
      <c r="V989">
        <v>0</v>
      </c>
    </row>
    <row r="990" spans="1:22" x14ac:dyDescent="0.25">
      <c r="A990" t="str">
        <f>"986"</f>
        <v>986</v>
      </c>
      <c r="B990" t="str">
        <f t="shared" si="54"/>
        <v>102</v>
      </c>
      <c r="C990" t="str">
        <f t="shared" si="55"/>
        <v>40</v>
      </c>
      <c r="D990" t="str">
        <f>"14"</f>
        <v>14</v>
      </c>
      <c r="E990" t="str">
        <f>"102-40-14"</f>
        <v>102-40-14</v>
      </c>
      <c r="F990" t="s">
        <v>27</v>
      </c>
      <c r="G990" t="s">
        <v>28</v>
      </c>
      <c r="H990">
        <v>1</v>
      </c>
      <c r="Q990">
        <v>0</v>
      </c>
      <c r="R990">
        <v>1</v>
      </c>
      <c r="S990">
        <v>0</v>
      </c>
      <c r="T990">
        <v>1</v>
      </c>
      <c r="U990">
        <v>0</v>
      </c>
      <c r="V990">
        <v>1</v>
      </c>
    </row>
    <row r="991" spans="1:22" x14ac:dyDescent="0.25">
      <c r="A991" t="str">
        <f>"987"</f>
        <v>987</v>
      </c>
      <c r="B991" t="str">
        <f t="shared" si="54"/>
        <v>102</v>
      </c>
      <c r="C991" t="str">
        <f t="shared" si="55"/>
        <v>40</v>
      </c>
      <c r="D991" t="str">
        <f>"2"</f>
        <v>2</v>
      </c>
      <c r="E991" t="str">
        <f>"102-40-2"</f>
        <v>102-40-2</v>
      </c>
      <c r="F991" t="s">
        <v>27</v>
      </c>
      <c r="G991" t="s">
        <v>28</v>
      </c>
      <c r="H991">
        <v>1</v>
      </c>
      <c r="Q991">
        <v>0</v>
      </c>
      <c r="R991">
        <v>1</v>
      </c>
      <c r="S991">
        <v>0</v>
      </c>
      <c r="T991">
        <v>1</v>
      </c>
      <c r="U991">
        <v>0</v>
      </c>
      <c r="V991">
        <v>1</v>
      </c>
    </row>
    <row r="992" spans="1:22" x14ac:dyDescent="0.25">
      <c r="A992" t="str">
        <f>"988"</f>
        <v>988</v>
      </c>
      <c r="B992" t="str">
        <f t="shared" si="54"/>
        <v>102</v>
      </c>
      <c r="C992" t="str">
        <f t="shared" si="55"/>
        <v>40</v>
      </c>
      <c r="D992" t="str">
        <f>"15"</f>
        <v>15</v>
      </c>
      <c r="E992" t="str">
        <f>"102-40-15"</f>
        <v>102-40-15</v>
      </c>
      <c r="F992" t="s">
        <v>27</v>
      </c>
      <c r="G992" t="s">
        <v>28</v>
      </c>
      <c r="H992">
        <v>1</v>
      </c>
      <c r="Q992">
        <v>1</v>
      </c>
      <c r="R992">
        <v>0</v>
      </c>
      <c r="S992">
        <v>1</v>
      </c>
      <c r="T992">
        <v>0</v>
      </c>
      <c r="U992">
        <v>1</v>
      </c>
      <c r="V992">
        <v>0</v>
      </c>
    </row>
    <row r="993" spans="1:22" x14ac:dyDescent="0.25">
      <c r="A993" t="str">
        <f>"989"</f>
        <v>989</v>
      </c>
      <c r="B993" t="str">
        <f t="shared" si="54"/>
        <v>102</v>
      </c>
      <c r="C993" t="str">
        <f t="shared" si="55"/>
        <v>40</v>
      </c>
      <c r="D993" t="str">
        <f>"6"</f>
        <v>6</v>
      </c>
      <c r="E993" t="str">
        <f>"102-40-6"</f>
        <v>102-40-6</v>
      </c>
      <c r="F993" t="s">
        <v>27</v>
      </c>
      <c r="G993" t="s">
        <v>28</v>
      </c>
      <c r="H993">
        <v>1</v>
      </c>
      <c r="Q993">
        <v>0</v>
      </c>
      <c r="R993">
        <v>1</v>
      </c>
      <c r="S993">
        <v>0</v>
      </c>
      <c r="T993">
        <v>1</v>
      </c>
      <c r="U993">
        <v>0</v>
      </c>
      <c r="V993">
        <v>1</v>
      </c>
    </row>
    <row r="994" spans="1:22" x14ac:dyDescent="0.25">
      <c r="A994" t="str">
        <f>"990"</f>
        <v>990</v>
      </c>
      <c r="B994" t="str">
        <f t="shared" si="54"/>
        <v>102</v>
      </c>
      <c r="C994" t="str">
        <f t="shared" si="55"/>
        <v>40</v>
      </c>
      <c r="D994" t="str">
        <f>"23"</f>
        <v>23</v>
      </c>
      <c r="E994" t="str">
        <f>"102-40-23"</f>
        <v>102-40-23</v>
      </c>
      <c r="F994" t="s">
        <v>27</v>
      </c>
      <c r="G994" t="s">
        <v>28</v>
      </c>
      <c r="H994">
        <v>1</v>
      </c>
      <c r="Q994">
        <v>0</v>
      </c>
      <c r="R994">
        <v>1</v>
      </c>
      <c r="S994">
        <v>0</v>
      </c>
      <c r="T994">
        <v>1</v>
      </c>
      <c r="U994">
        <v>1</v>
      </c>
      <c r="V994">
        <v>0</v>
      </c>
    </row>
    <row r="995" spans="1:22" x14ac:dyDescent="0.25">
      <c r="A995" t="str">
        <f>"991"</f>
        <v>991</v>
      </c>
      <c r="B995" t="str">
        <f t="shared" si="54"/>
        <v>102</v>
      </c>
      <c r="C995" t="str">
        <f t="shared" si="55"/>
        <v>40</v>
      </c>
      <c r="D995" t="str">
        <f>"16"</f>
        <v>16</v>
      </c>
      <c r="E995" t="str">
        <f>"102-40-16"</f>
        <v>102-40-16</v>
      </c>
      <c r="F995" t="s">
        <v>27</v>
      </c>
      <c r="G995" t="s">
        <v>28</v>
      </c>
      <c r="H995">
        <v>1</v>
      </c>
      <c r="Q995">
        <v>1</v>
      </c>
      <c r="R995">
        <v>0</v>
      </c>
      <c r="S995">
        <v>1</v>
      </c>
      <c r="T995">
        <v>0</v>
      </c>
      <c r="U995">
        <v>1</v>
      </c>
      <c r="V995">
        <v>0</v>
      </c>
    </row>
    <row r="996" spans="1:22" x14ac:dyDescent="0.25">
      <c r="A996" t="str">
        <f>"992"</f>
        <v>992</v>
      </c>
      <c r="B996" t="str">
        <f t="shared" si="54"/>
        <v>102</v>
      </c>
      <c r="C996" t="str">
        <f t="shared" si="55"/>
        <v>40</v>
      </c>
      <c r="D996" t="str">
        <f>"9"</f>
        <v>9</v>
      </c>
      <c r="E996" t="str">
        <f>"102-40-9"</f>
        <v>102-40-9</v>
      </c>
      <c r="F996" t="s">
        <v>27</v>
      </c>
      <c r="G996" t="s">
        <v>28</v>
      </c>
      <c r="H996">
        <v>1</v>
      </c>
      <c r="Q996">
        <v>0</v>
      </c>
      <c r="R996">
        <v>1</v>
      </c>
      <c r="S996">
        <v>0</v>
      </c>
      <c r="T996">
        <v>1</v>
      </c>
      <c r="U996">
        <v>0</v>
      </c>
      <c r="V996">
        <v>1</v>
      </c>
    </row>
    <row r="997" spans="1:22" x14ac:dyDescent="0.25">
      <c r="A997" t="str">
        <f>"993"</f>
        <v>993</v>
      </c>
      <c r="B997" t="str">
        <f t="shared" si="54"/>
        <v>102</v>
      </c>
      <c r="C997" t="str">
        <f t="shared" si="55"/>
        <v>40</v>
      </c>
      <c r="D997" t="str">
        <f>"17"</f>
        <v>17</v>
      </c>
      <c r="E997" t="str">
        <f>"102-40-17"</f>
        <v>102-40-17</v>
      </c>
      <c r="F997" t="s">
        <v>27</v>
      </c>
      <c r="G997" t="s">
        <v>28</v>
      </c>
      <c r="H997">
        <v>1</v>
      </c>
      <c r="Q997">
        <v>0</v>
      </c>
      <c r="R997">
        <v>1</v>
      </c>
      <c r="S997">
        <v>0</v>
      </c>
      <c r="T997">
        <v>1</v>
      </c>
      <c r="U997">
        <v>1</v>
      </c>
      <c r="V997">
        <v>0</v>
      </c>
    </row>
    <row r="998" spans="1:22" x14ac:dyDescent="0.25">
      <c r="A998" t="str">
        <f>"994"</f>
        <v>994</v>
      </c>
      <c r="B998" t="str">
        <f t="shared" si="54"/>
        <v>102</v>
      </c>
      <c r="C998" t="str">
        <f t="shared" si="55"/>
        <v>40</v>
      </c>
      <c r="D998" t="str">
        <f>"7"</f>
        <v>7</v>
      </c>
      <c r="E998" t="str">
        <f>"102-40-7"</f>
        <v>102-40-7</v>
      </c>
      <c r="F998" t="s">
        <v>27</v>
      </c>
      <c r="G998" t="s">
        <v>28</v>
      </c>
      <c r="H998">
        <v>1</v>
      </c>
      <c r="Q998">
        <v>1</v>
      </c>
      <c r="R998">
        <v>0</v>
      </c>
      <c r="S998">
        <v>0</v>
      </c>
      <c r="T998">
        <v>1</v>
      </c>
      <c r="U998">
        <v>0</v>
      </c>
      <c r="V998">
        <v>1</v>
      </c>
    </row>
    <row r="999" spans="1:22" x14ac:dyDescent="0.25">
      <c r="A999" t="str">
        <f>"995"</f>
        <v>995</v>
      </c>
      <c r="B999" t="str">
        <f t="shared" si="54"/>
        <v>102</v>
      </c>
      <c r="C999" t="str">
        <f t="shared" si="55"/>
        <v>40</v>
      </c>
      <c r="D999" t="str">
        <f>"18"</f>
        <v>18</v>
      </c>
      <c r="E999" t="str">
        <f>"102-40-18"</f>
        <v>102-40-18</v>
      </c>
      <c r="F999" t="s">
        <v>27</v>
      </c>
      <c r="G999" t="s">
        <v>28</v>
      </c>
      <c r="H999">
        <v>1</v>
      </c>
      <c r="Q999">
        <v>0</v>
      </c>
      <c r="R999">
        <v>1</v>
      </c>
      <c r="S999">
        <v>0</v>
      </c>
      <c r="T999">
        <v>1</v>
      </c>
      <c r="U999">
        <v>0</v>
      </c>
      <c r="V999">
        <v>1</v>
      </c>
    </row>
    <row r="1000" spans="1:22" x14ac:dyDescent="0.25">
      <c r="A1000" t="str">
        <f>"996"</f>
        <v>996</v>
      </c>
      <c r="B1000" t="str">
        <f t="shared" si="54"/>
        <v>102</v>
      </c>
      <c r="C1000" t="str">
        <f t="shared" si="55"/>
        <v>40</v>
      </c>
      <c r="D1000" t="str">
        <f>"8"</f>
        <v>8</v>
      </c>
      <c r="E1000" t="str">
        <f>"102-40-8"</f>
        <v>102-40-8</v>
      </c>
      <c r="F1000" t="s">
        <v>27</v>
      </c>
      <c r="G1000" t="s">
        <v>28</v>
      </c>
      <c r="H1000">
        <v>1</v>
      </c>
      <c r="Q1000">
        <v>0</v>
      </c>
      <c r="R1000">
        <v>1</v>
      </c>
      <c r="S1000">
        <v>0</v>
      </c>
      <c r="T1000">
        <v>1</v>
      </c>
      <c r="U1000">
        <v>0</v>
      </c>
      <c r="V1000">
        <v>1</v>
      </c>
    </row>
    <row r="1001" spans="1:22" x14ac:dyDescent="0.25">
      <c r="A1001" t="str">
        <f>"997"</f>
        <v>997</v>
      </c>
      <c r="B1001" t="str">
        <f t="shared" si="54"/>
        <v>102</v>
      </c>
      <c r="C1001" t="str">
        <f t="shared" si="55"/>
        <v>40</v>
      </c>
      <c r="D1001" t="str">
        <f>"19"</f>
        <v>19</v>
      </c>
      <c r="E1001" t="str">
        <f>"102-40-19"</f>
        <v>102-40-19</v>
      </c>
      <c r="F1001" t="s">
        <v>27</v>
      </c>
      <c r="G1001" t="s">
        <v>28</v>
      </c>
      <c r="H1001">
        <v>1</v>
      </c>
      <c r="Q1001">
        <v>0</v>
      </c>
      <c r="R1001">
        <v>1</v>
      </c>
      <c r="S1001">
        <v>0</v>
      </c>
      <c r="T1001">
        <v>1</v>
      </c>
      <c r="U1001">
        <v>0</v>
      </c>
      <c r="V1001">
        <v>1</v>
      </c>
    </row>
    <row r="1002" spans="1:22" x14ac:dyDescent="0.25">
      <c r="A1002" t="str">
        <f>"998"</f>
        <v>998</v>
      </c>
      <c r="B1002" t="str">
        <f t="shared" si="54"/>
        <v>102</v>
      </c>
      <c r="C1002" t="str">
        <f t="shared" si="55"/>
        <v>40</v>
      </c>
      <c r="D1002" t="str">
        <f>"1"</f>
        <v>1</v>
      </c>
      <c r="E1002" t="str">
        <f>"102-40-1"</f>
        <v>102-40-1</v>
      </c>
      <c r="F1002" t="s">
        <v>27</v>
      </c>
      <c r="G1002" t="s">
        <v>28</v>
      </c>
      <c r="H1002">
        <v>1</v>
      </c>
      <c r="Q1002">
        <v>1</v>
      </c>
      <c r="R1002">
        <v>0</v>
      </c>
      <c r="S1002">
        <v>1</v>
      </c>
      <c r="T1002">
        <v>0</v>
      </c>
      <c r="U1002">
        <v>1</v>
      </c>
      <c r="V1002">
        <v>0</v>
      </c>
    </row>
    <row r="1003" spans="1:22" x14ac:dyDescent="0.25">
      <c r="A1003" t="str">
        <f>"999"</f>
        <v>999</v>
      </c>
      <c r="B1003" t="str">
        <f t="shared" si="54"/>
        <v>102</v>
      </c>
      <c r="C1003" t="str">
        <f t="shared" si="55"/>
        <v>40</v>
      </c>
      <c r="D1003" t="str">
        <f>"20"</f>
        <v>20</v>
      </c>
      <c r="E1003" t="str">
        <f>"102-40-20"</f>
        <v>102-40-20</v>
      </c>
      <c r="F1003" t="s">
        <v>27</v>
      </c>
      <c r="G1003" t="s">
        <v>28</v>
      </c>
      <c r="H1003">
        <v>1</v>
      </c>
      <c r="Q1003">
        <v>1</v>
      </c>
      <c r="R1003">
        <v>0</v>
      </c>
      <c r="S1003">
        <v>0</v>
      </c>
      <c r="T1003">
        <v>1</v>
      </c>
      <c r="U1003">
        <v>0</v>
      </c>
      <c r="V1003">
        <v>1</v>
      </c>
    </row>
    <row r="1004" spans="1:22" x14ac:dyDescent="0.25">
      <c r="A1004" t="str">
        <f>"1000"</f>
        <v>1000</v>
      </c>
      <c r="B1004" t="str">
        <f t="shared" si="54"/>
        <v>102</v>
      </c>
      <c r="C1004" t="str">
        <f t="shared" si="55"/>
        <v>40</v>
      </c>
      <c r="D1004" t="str">
        <f>"3"</f>
        <v>3</v>
      </c>
      <c r="E1004" t="str">
        <f>"102-40-3"</f>
        <v>102-40-3</v>
      </c>
      <c r="F1004" t="s">
        <v>27</v>
      </c>
      <c r="G1004" t="s">
        <v>28</v>
      </c>
      <c r="H1004">
        <v>1</v>
      </c>
      <c r="Q1004">
        <v>1</v>
      </c>
      <c r="R1004">
        <v>0</v>
      </c>
      <c r="S1004">
        <v>1</v>
      </c>
      <c r="T1004">
        <v>0</v>
      </c>
      <c r="U1004">
        <v>1</v>
      </c>
      <c r="V1004">
        <v>0</v>
      </c>
    </row>
    <row r="1005" spans="1:22" x14ac:dyDescent="0.25">
      <c r="A1005" t="str">
        <f>"1001"</f>
        <v>1001</v>
      </c>
      <c r="B1005" t="str">
        <f t="shared" si="54"/>
        <v>102</v>
      </c>
      <c r="C1005" t="str">
        <f t="shared" ref="C1005:C1029" si="56">"41"</f>
        <v>41</v>
      </c>
      <c r="D1005" t="str">
        <f>"24"</f>
        <v>24</v>
      </c>
      <c r="E1005" t="str">
        <f>"102-41-24"</f>
        <v>102-41-24</v>
      </c>
      <c r="F1005" t="s">
        <v>27</v>
      </c>
      <c r="G1005" t="s">
        <v>28</v>
      </c>
      <c r="H1005">
        <v>1</v>
      </c>
      <c r="Q1005">
        <v>1</v>
      </c>
      <c r="R1005">
        <v>0</v>
      </c>
      <c r="S1005">
        <v>1</v>
      </c>
      <c r="T1005">
        <v>0</v>
      </c>
      <c r="U1005">
        <v>0</v>
      </c>
      <c r="V1005">
        <v>1</v>
      </c>
    </row>
    <row r="1006" spans="1:22" x14ac:dyDescent="0.25">
      <c r="A1006" t="str">
        <f>"1002"</f>
        <v>1002</v>
      </c>
      <c r="B1006" t="str">
        <f t="shared" si="54"/>
        <v>102</v>
      </c>
      <c r="C1006" t="str">
        <f t="shared" si="56"/>
        <v>41</v>
      </c>
      <c r="D1006" t="str">
        <f>"23"</f>
        <v>23</v>
      </c>
      <c r="E1006" t="str">
        <f>"102-41-23"</f>
        <v>102-41-23</v>
      </c>
      <c r="F1006" t="s">
        <v>27</v>
      </c>
      <c r="G1006" t="s">
        <v>28</v>
      </c>
      <c r="H1006">
        <v>1</v>
      </c>
      <c r="Q1006">
        <v>1</v>
      </c>
      <c r="R1006">
        <v>0</v>
      </c>
      <c r="S1006">
        <v>1</v>
      </c>
      <c r="T1006">
        <v>0</v>
      </c>
      <c r="U1006">
        <v>1</v>
      </c>
      <c r="V1006">
        <v>0</v>
      </c>
    </row>
    <row r="1007" spans="1:22" x14ac:dyDescent="0.25">
      <c r="A1007" t="str">
        <f>"1003"</f>
        <v>1003</v>
      </c>
      <c r="B1007" t="str">
        <f t="shared" si="54"/>
        <v>102</v>
      </c>
      <c r="C1007" t="str">
        <f t="shared" si="56"/>
        <v>41</v>
      </c>
      <c r="D1007" t="str">
        <f>"21"</f>
        <v>21</v>
      </c>
      <c r="E1007" t="str">
        <f>"102-41-21"</f>
        <v>102-41-21</v>
      </c>
      <c r="F1007" t="s">
        <v>27</v>
      </c>
      <c r="G1007" t="s">
        <v>28</v>
      </c>
      <c r="H1007">
        <v>1</v>
      </c>
      <c r="Q1007">
        <v>0</v>
      </c>
      <c r="R1007">
        <v>1</v>
      </c>
      <c r="S1007">
        <v>0</v>
      </c>
      <c r="T1007">
        <v>1</v>
      </c>
      <c r="U1007">
        <v>0</v>
      </c>
      <c r="V1007">
        <v>1</v>
      </c>
    </row>
    <row r="1008" spans="1:22" x14ac:dyDescent="0.25">
      <c r="A1008" t="str">
        <f>"1004"</f>
        <v>1004</v>
      </c>
      <c r="B1008" t="str">
        <f t="shared" si="54"/>
        <v>102</v>
      </c>
      <c r="C1008" t="str">
        <f t="shared" si="56"/>
        <v>41</v>
      </c>
      <c r="D1008" t="str">
        <f>"11"</f>
        <v>11</v>
      </c>
      <c r="E1008" t="str">
        <f>"102-41-11"</f>
        <v>102-41-11</v>
      </c>
      <c r="F1008" t="s">
        <v>27</v>
      </c>
      <c r="G1008" t="s">
        <v>28</v>
      </c>
      <c r="H1008">
        <v>1</v>
      </c>
      <c r="Q1008">
        <v>0</v>
      </c>
      <c r="R1008">
        <v>1</v>
      </c>
      <c r="S1008">
        <v>0</v>
      </c>
      <c r="T1008">
        <v>1</v>
      </c>
      <c r="U1008">
        <v>0</v>
      </c>
      <c r="V1008">
        <v>1</v>
      </c>
    </row>
    <row r="1009" spans="1:22" x14ac:dyDescent="0.25">
      <c r="A1009" t="str">
        <f>"1005"</f>
        <v>1005</v>
      </c>
      <c r="B1009" t="str">
        <f t="shared" si="54"/>
        <v>102</v>
      </c>
      <c r="C1009" t="str">
        <f t="shared" si="56"/>
        <v>41</v>
      </c>
      <c r="D1009" t="str">
        <f>"1"</f>
        <v>1</v>
      </c>
      <c r="E1009" t="str">
        <f>"102-41-1"</f>
        <v>102-41-1</v>
      </c>
      <c r="F1009" t="s">
        <v>27</v>
      </c>
      <c r="G1009" t="s">
        <v>28</v>
      </c>
      <c r="H1009">
        <v>1</v>
      </c>
      <c r="Q1009">
        <v>0</v>
      </c>
      <c r="R1009">
        <v>1</v>
      </c>
      <c r="S1009">
        <v>0</v>
      </c>
      <c r="T1009">
        <v>1</v>
      </c>
      <c r="U1009">
        <v>0</v>
      </c>
      <c r="V1009">
        <v>1</v>
      </c>
    </row>
    <row r="1010" spans="1:22" x14ac:dyDescent="0.25">
      <c r="A1010" t="str">
        <f>"1006"</f>
        <v>1006</v>
      </c>
      <c r="B1010" t="str">
        <f t="shared" si="54"/>
        <v>102</v>
      </c>
      <c r="C1010" t="str">
        <f t="shared" si="56"/>
        <v>41</v>
      </c>
      <c r="D1010" t="str">
        <f>"22"</f>
        <v>22</v>
      </c>
      <c r="E1010" t="str">
        <f>"102-41-22"</f>
        <v>102-41-22</v>
      </c>
      <c r="F1010" t="s">
        <v>27</v>
      </c>
      <c r="G1010" t="s">
        <v>28</v>
      </c>
      <c r="H1010">
        <v>1</v>
      </c>
      <c r="Q1010">
        <v>0</v>
      </c>
      <c r="R1010">
        <v>1</v>
      </c>
      <c r="S1010">
        <v>0</v>
      </c>
      <c r="T1010">
        <v>1</v>
      </c>
      <c r="U1010">
        <v>0</v>
      </c>
      <c r="V1010">
        <v>1</v>
      </c>
    </row>
    <row r="1011" spans="1:22" x14ac:dyDescent="0.25">
      <c r="A1011" t="str">
        <f>"1007"</f>
        <v>1007</v>
      </c>
      <c r="B1011" t="str">
        <f t="shared" si="54"/>
        <v>102</v>
      </c>
      <c r="C1011" t="str">
        <f t="shared" si="56"/>
        <v>41</v>
      </c>
      <c r="D1011" t="str">
        <f>"12"</f>
        <v>12</v>
      </c>
      <c r="E1011" t="str">
        <f>"102-41-12"</f>
        <v>102-41-12</v>
      </c>
      <c r="F1011" t="s">
        <v>27</v>
      </c>
      <c r="G1011" t="s">
        <v>28</v>
      </c>
      <c r="H1011">
        <v>1</v>
      </c>
      <c r="Q1011">
        <v>1</v>
      </c>
      <c r="R1011">
        <v>0</v>
      </c>
      <c r="S1011">
        <v>1</v>
      </c>
      <c r="T1011">
        <v>0</v>
      </c>
      <c r="U1011">
        <v>0</v>
      </c>
      <c r="V1011">
        <v>1</v>
      </c>
    </row>
    <row r="1012" spans="1:22" x14ac:dyDescent="0.25">
      <c r="A1012" t="str">
        <f>"1008"</f>
        <v>1008</v>
      </c>
      <c r="B1012" t="str">
        <f t="shared" si="54"/>
        <v>102</v>
      </c>
      <c r="C1012" t="str">
        <f t="shared" si="56"/>
        <v>41</v>
      </c>
      <c r="D1012" t="str">
        <f>"10"</f>
        <v>10</v>
      </c>
      <c r="E1012" t="str">
        <f>"102-41-10"</f>
        <v>102-41-10</v>
      </c>
      <c r="F1012" t="s">
        <v>27</v>
      </c>
      <c r="G1012" t="s">
        <v>28</v>
      </c>
      <c r="H1012">
        <v>1</v>
      </c>
      <c r="Q1012">
        <v>0</v>
      </c>
      <c r="R1012">
        <v>1</v>
      </c>
      <c r="S1012">
        <v>0</v>
      </c>
      <c r="T1012">
        <v>1</v>
      </c>
      <c r="U1012">
        <v>1</v>
      </c>
      <c r="V1012">
        <v>0</v>
      </c>
    </row>
    <row r="1013" spans="1:22" x14ac:dyDescent="0.25">
      <c r="A1013" t="str">
        <f>"1009"</f>
        <v>1009</v>
      </c>
      <c r="B1013" t="str">
        <f t="shared" si="54"/>
        <v>102</v>
      </c>
      <c r="C1013" t="str">
        <f t="shared" si="56"/>
        <v>41</v>
      </c>
      <c r="D1013" t="str">
        <f>"25"</f>
        <v>25</v>
      </c>
      <c r="E1013" t="str">
        <f>"102-41-25"</f>
        <v>102-41-25</v>
      </c>
      <c r="F1013" t="s">
        <v>27</v>
      </c>
      <c r="G1013" t="s">
        <v>28</v>
      </c>
      <c r="H1013">
        <v>1</v>
      </c>
      <c r="Q1013">
        <v>0</v>
      </c>
      <c r="R1013">
        <v>1</v>
      </c>
      <c r="S1013">
        <v>0</v>
      </c>
      <c r="T1013">
        <v>1</v>
      </c>
      <c r="U1013">
        <v>0</v>
      </c>
      <c r="V1013">
        <v>1</v>
      </c>
    </row>
    <row r="1014" spans="1:22" x14ac:dyDescent="0.25">
      <c r="A1014" t="str">
        <f>"1010"</f>
        <v>1010</v>
      </c>
      <c r="B1014" t="str">
        <f t="shared" si="54"/>
        <v>102</v>
      </c>
      <c r="C1014" t="str">
        <f t="shared" si="56"/>
        <v>41</v>
      </c>
      <c r="D1014" t="str">
        <f>"13"</f>
        <v>13</v>
      </c>
      <c r="E1014" t="str">
        <f>"102-41-13"</f>
        <v>102-41-13</v>
      </c>
      <c r="F1014" t="s">
        <v>27</v>
      </c>
      <c r="G1014" t="s">
        <v>28</v>
      </c>
      <c r="H1014">
        <v>1</v>
      </c>
      <c r="Q1014">
        <v>1</v>
      </c>
      <c r="R1014">
        <v>0</v>
      </c>
      <c r="S1014">
        <v>1</v>
      </c>
      <c r="T1014">
        <v>0</v>
      </c>
      <c r="U1014">
        <v>1</v>
      </c>
      <c r="V1014">
        <v>0</v>
      </c>
    </row>
    <row r="1015" spans="1:22" x14ac:dyDescent="0.25">
      <c r="A1015" t="str">
        <f>"1011"</f>
        <v>1011</v>
      </c>
      <c r="B1015" t="str">
        <f t="shared" si="54"/>
        <v>102</v>
      </c>
      <c r="C1015" t="str">
        <f t="shared" si="56"/>
        <v>41</v>
      </c>
      <c r="D1015" t="str">
        <f>"2"</f>
        <v>2</v>
      </c>
      <c r="E1015" t="str">
        <f>"102-41-2"</f>
        <v>102-41-2</v>
      </c>
      <c r="F1015" t="s">
        <v>27</v>
      </c>
      <c r="G1015" t="s">
        <v>28</v>
      </c>
      <c r="H1015">
        <v>1</v>
      </c>
      <c r="Q1015">
        <v>0</v>
      </c>
      <c r="R1015">
        <v>1</v>
      </c>
      <c r="S1015">
        <v>0</v>
      </c>
      <c r="T1015">
        <v>1</v>
      </c>
      <c r="U1015">
        <v>0</v>
      </c>
      <c r="V1015">
        <v>1</v>
      </c>
    </row>
    <row r="1016" spans="1:22" x14ac:dyDescent="0.25">
      <c r="A1016" t="str">
        <f>"1012"</f>
        <v>1012</v>
      </c>
      <c r="B1016" t="str">
        <f t="shared" si="54"/>
        <v>102</v>
      </c>
      <c r="C1016" t="str">
        <f t="shared" si="56"/>
        <v>41</v>
      </c>
      <c r="D1016" t="str">
        <f>"14"</f>
        <v>14</v>
      </c>
      <c r="E1016" t="str">
        <f>"102-41-14"</f>
        <v>102-41-14</v>
      </c>
      <c r="F1016" t="s">
        <v>27</v>
      </c>
      <c r="G1016" t="s">
        <v>28</v>
      </c>
      <c r="H1016">
        <v>1</v>
      </c>
      <c r="Q1016">
        <v>0</v>
      </c>
      <c r="R1016">
        <v>1</v>
      </c>
      <c r="S1016">
        <v>0</v>
      </c>
      <c r="T1016">
        <v>1</v>
      </c>
      <c r="U1016">
        <v>0</v>
      </c>
      <c r="V1016">
        <v>1</v>
      </c>
    </row>
    <row r="1017" spans="1:22" x14ac:dyDescent="0.25">
      <c r="A1017" t="str">
        <f>"1013"</f>
        <v>1013</v>
      </c>
      <c r="B1017" t="str">
        <f t="shared" si="54"/>
        <v>102</v>
      </c>
      <c r="C1017" t="str">
        <f t="shared" si="56"/>
        <v>41</v>
      </c>
      <c r="D1017" t="str">
        <f>"5"</f>
        <v>5</v>
      </c>
      <c r="E1017" t="str">
        <f>"102-41-5"</f>
        <v>102-41-5</v>
      </c>
      <c r="F1017" t="s">
        <v>27</v>
      </c>
      <c r="G1017" t="s">
        <v>28</v>
      </c>
      <c r="H1017">
        <v>1</v>
      </c>
      <c r="Q1017">
        <v>0</v>
      </c>
      <c r="R1017">
        <v>1</v>
      </c>
      <c r="S1017">
        <v>0</v>
      </c>
      <c r="T1017">
        <v>1</v>
      </c>
      <c r="U1017">
        <v>0</v>
      </c>
      <c r="V1017">
        <v>1</v>
      </c>
    </row>
    <row r="1018" spans="1:22" x14ac:dyDescent="0.25">
      <c r="A1018" t="str">
        <f>"1014"</f>
        <v>1014</v>
      </c>
      <c r="B1018" t="str">
        <f t="shared" si="54"/>
        <v>102</v>
      </c>
      <c r="C1018" t="str">
        <f t="shared" si="56"/>
        <v>41</v>
      </c>
      <c r="D1018" t="str">
        <f>"15"</f>
        <v>15</v>
      </c>
      <c r="E1018" t="str">
        <f>"102-41-15"</f>
        <v>102-41-15</v>
      </c>
      <c r="F1018" t="s">
        <v>27</v>
      </c>
      <c r="G1018" t="s">
        <v>28</v>
      </c>
      <c r="H1018">
        <v>1</v>
      </c>
      <c r="Q1018">
        <v>0</v>
      </c>
      <c r="R1018">
        <v>1</v>
      </c>
      <c r="S1018">
        <v>0</v>
      </c>
      <c r="T1018">
        <v>1</v>
      </c>
      <c r="U1018">
        <v>0</v>
      </c>
      <c r="V1018">
        <v>1</v>
      </c>
    </row>
    <row r="1019" spans="1:22" x14ac:dyDescent="0.25">
      <c r="A1019" t="str">
        <f>"1015"</f>
        <v>1015</v>
      </c>
      <c r="B1019" t="str">
        <f t="shared" si="54"/>
        <v>102</v>
      </c>
      <c r="C1019" t="str">
        <f t="shared" si="56"/>
        <v>41</v>
      </c>
      <c r="D1019" t="str">
        <f>"8"</f>
        <v>8</v>
      </c>
      <c r="E1019" t="str">
        <f>"102-41-8"</f>
        <v>102-41-8</v>
      </c>
      <c r="F1019" t="s">
        <v>27</v>
      </c>
      <c r="G1019" t="s">
        <v>28</v>
      </c>
      <c r="H1019">
        <v>1</v>
      </c>
      <c r="Q1019">
        <v>0</v>
      </c>
      <c r="R1019">
        <v>1</v>
      </c>
      <c r="S1019">
        <v>0</v>
      </c>
      <c r="T1019">
        <v>1</v>
      </c>
      <c r="U1019">
        <v>0</v>
      </c>
      <c r="V1019">
        <v>1</v>
      </c>
    </row>
    <row r="1020" spans="1:22" x14ac:dyDescent="0.25">
      <c r="A1020" t="str">
        <f>"1016"</f>
        <v>1016</v>
      </c>
      <c r="B1020" t="str">
        <f t="shared" si="54"/>
        <v>102</v>
      </c>
      <c r="C1020" t="str">
        <f t="shared" si="56"/>
        <v>41</v>
      </c>
      <c r="D1020" t="str">
        <f>"16"</f>
        <v>16</v>
      </c>
      <c r="E1020" t="str">
        <f>"102-41-16"</f>
        <v>102-41-16</v>
      </c>
      <c r="F1020" t="s">
        <v>27</v>
      </c>
      <c r="G1020" t="s">
        <v>28</v>
      </c>
      <c r="H1020">
        <v>1</v>
      </c>
      <c r="Q1020">
        <v>1</v>
      </c>
      <c r="R1020">
        <v>0</v>
      </c>
      <c r="S1020">
        <v>1</v>
      </c>
      <c r="T1020">
        <v>0</v>
      </c>
      <c r="U1020">
        <v>1</v>
      </c>
      <c r="V1020">
        <v>0</v>
      </c>
    </row>
    <row r="1021" spans="1:22" x14ac:dyDescent="0.25">
      <c r="A1021" t="str">
        <f>"1017"</f>
        <v>1017</v>
      </c>
      <c r="B1021" t="str">
        <f t="shared" si="54"/>
        <v>102</v>
      </c>
      <c r="C1021" t="str">
        <f t="shared" si="56"/>
        <v>41</v>
      </c>
      <c r="D1021" t="str">
        <f>"4"</f>
        <v>4</v>
      </c>
      <c r="E1021" t="str">
        <f>"102-41-4"</f>
        <v>102-41-4</v>
      </c>
      <c r="F1021" t="s">
        <v>27</v>
      </c>
      <c r="G1021" t="s">
        <v>28</v>
      </c>
      <c r="H1021">
        <v>1</v>
      </c>
      <c r="Q1021">
        <v>1</v>
      </c>
      <c r="R1021">
        <v>0</v>
      </c>
      <c r="S1021">
        <v>1</v>
      </c>
      <c r="T1021">
        <v>0</v>
      </c>
      <c r="U1021">
        <v>1</v>
      </c>
      <c r="V1021">
        <v>0</v>
      </c>
    </row>
    <row r="1022" spans="1:22" x14ac:dyDescent="0.25">
      <c r="A1022" t="str">
        <f>"1018"</f>
        <v>1018</v>
      </c>
      <c r="B1022" t="str">
        <f t="shared" si="54"/>
        <v>102</v>
      </c>
      <c r="C1022" t="str">
        <f t="shared" si="56"/>
        <v>41</v>
      </c>
      <c r="D1022" t="str">
        <f>"17"</f>
        <v>17</v>
      </c>
      <c r="E1022" t="str">
        <f>"102-41-17"</f>
        <v>102-41-17</v>
      </c>
      <c r="F1022" t="s">
        <v>27</v>
      </c>
      <c r="G1022" t="s">
        <v>28</v>
      </c>
      <c r="H1022">
        <v>1</v>
      </c>
      <c r="Q1022">
        <v>0</v>
      </c>
      <c r="R1022">
        <v>1</v>
      </c>
      <c r="S1022">
        <v>0</v>
      </c>
      <c r="T1022">
        <v>1</v>
      </c>
      <c r="U1022">
        <v>0</v>
      </c>
      <c r="V1022">
        <v>1</v>
      </c>
    </row>
    <row r="1023" spans="1:22" x14ac:dyDescent="0.25">
      <c r="A1023" t="str">
        <f>"1019"</f>
        <v>1019</v>
      </c>
      <c r="B1023" t="str">
        <f t="shared" si="54"/>
        <v>102</v>
      </c>
      <c r="C1023" t="str">
        <f t="shared" si="56"/>
        <v>41</v>
      </c>
      <c r="D1023" t="str">
        <f>"6"</f>
        <v>6</v>
      </c>
      <c r="E1023" t="str">
        <f>"102-41-6"</f>
        <v>102-41-6</v>
      </c>
      <c r="F1023" t="s">
        <v>27</v>
      </c>
      <c r="G1023" t="s">
        <v>28</v>
      </c>
      <c r="H1023">
        <v>1</v>
      </c>
      <c r="Q1023">
        <v>1</v>
      </c>
      <c r="R1023">
        <v>0</v>
      </c>
      <c r="S1023">
        <v>1</v>
      </c>
      <c r="T1023">
        <v>0</v>
      </c>
      <c r="U1023">
        <v>1</v>
      </c>
      <c r="V1023">
        <v>0</v>
      </c>
    </row>
    <row r="1024" spans="1:22" x14ac:dyDescent="0.25">
      <c r="A1024" t="str">
        <f>"1020"</f>
        <v>1020</v>
      </c>
      <c r="B1024" t="str">
        <f t="shared" si="54"/>
        <v>102</v>
      </c>
      <c r="C1024" t="str">
        <f t="shared" si="56"/>
        <v>41</v>
      </c>
      <c r="D1024" t="str">
        <f>"18"</f>
        <v>18</v>
      </c>
      <c r="E1024" t="str">
        <f>"102-41-18"</f>
        <v>102-41-18</v>
      </c>
      <c r="F1024" t="s">
        <v>27</v>
      </c>
      <c r="G1024" t="s">
        <v>28</v>
      </c>
      <c r="H1024">
        <v>1</v>
      </c>
      <c r="Q1024">
        <v>1</v>
      </c>
      <c r="R1024">
        <v>0</v>
      </c>
      <c r="S1024">
        <v>1</v>
      </c>
      <c r="T1024">
        <v>0</v>
      </c>
      <c r="U1024">
        <v>0</v>
      </c>
      <c r="V1024">
        <v>1</v>
      </c>
    </row>
    <row r="1025" spans="1:22" x14ac:dyDescent="0.25">
      <c r="A1025" t="str">
        <f>"1021"</f>
        <v>1021</v>
      </c>
      <c r="B1025" t="str">
        <f t="shared" si="54"/>
        <v>102</v>
      </c>
      <c r="C1025" t="str">
        <f t="shared" si="56"/>
        <v>41</v>
      </c>
      <c r="D1025" t="str">
        <f>"3"</f>
        <v>3</v>
      </c>
      <c r="E1025" t="str">
        <f>"102-41-3"</f>
        <v>102-41-3</v>
      </c>
      <c r="F1025" t="s">
        <v>27</v>
      </c>
      <c r="G1025" t="s">
        <v>28</v>
      </c>
      <c r="H1025">
        <v>1</v>
      </c>
      <c r="Q1025">
        <v>0</v>
      </c>
      <c r="R1025">
        <v>1</v>
      </c>
      <c r="S1025">
        <v>0</v>
      </c>
      <c r="T1025">
        <v>1</v>
      </c>
      <c r="U1025">
        <v>0</v>
      </c>
      <c r="V1025">
        <v>1</v>
      </c>
    </row>
    <row r="1026" spans="1:22" x14ac:dyDescent="0.25">
      <c r="A1026" t="str">
        <f>"1022"</f>
        <v>1022</v>
      </c>
      <c r="B1026" t="str">
        <f t="shared" si="54"/>
        <v>102</v>
      </c>
      <c r="C1026" t="str">
        <f t="shared" si="56"/>
        <v>41</v>
      </c>
      <c r="D1026" t="str">
        <f>"19"</f>
        <v>19</v>
      </c>
      <c r="E1026" t="str">
        <f>"102-41-19"</f>
        <v>102-41-19</v>
      </c>
      <c r="F1026" t="s">
        <v>27</v>
      </c>
      <c r="G1026" t="s">
        <v>28</v>
      </c>
      <c r="H1026">
        <v>1</v>
      </c>
      <c r="Q1026">
        <v>0</v>
      </c>
      <c r="R1026">
        <v>1</v>
      </c>
      <c r="S1026">
        <v>0</v>
      </c>
      <c r="T1026">
        <v>1</v>
      </c>
      <c r="U1026">
        <v>0</v>
      </c>
      <c r="V1026">
        <v>1</v>
      </c>
    </row>
    <row r="1027" spans="1:22" x14ac:dyDescent="0.25">
      <c r="A1027" t="str">
        <f>"1023"</f>
        <v>1023</v>
      </c>
      <c r="B1027" t="str">
        <f t="shared" si="54"/>
        <v>102</v>
      </c>
      <c r="C1027" t="str">
        <f t="shared" si="56"/>
        <v>41</v>
      </c>
      <c r="D1027" t="str">
        <f>"9"</f>
        <v>9</v>
      </c>
      <c r="E1027" t="str">
        <f>"102-41-9"</f>
        <v>102-41-9</v>
      </c>
      <c r="F1027" t="s">
        <v>27</v>
      </c>
      <c r="G1027" t="s">
        <v>28</v>
      </c>
      <c r="H1027">
        <v>1</v>
      </c>
      <c r="Q1027">
        <v>0</v>
      </c>
      <c r="R1027">
        <v>0</v>
      </c>
      <c r="S1027">
        <v>0</v>
      </c>
      <c r="T1027">
        <v>1</v>
      </c>
      <c r="U1027">
        <v>0</v>
      </c>
      <c r="V1027">
        <v>1</v>
      </c>
    </row>
    <row r="1028" spans="1:22" x14ac:dyDescent="0.25">
      <c r="A1028" t="str">
        <f>"1024"</f>
        <v>1024</v>
      </c>
      <c r="B1028" t="str">
        <f t="shared" si="54"/>
        <v>102</v>
      </c>
      <c r="C1028" t="str">
        <f t="shared" si="56"/>
        <v>41</v>
      </c>
      <c r="D1028" t="str">
        <f>"20"</f>
        <v>20</v>
      </c>
      <c r="E1028" t="str">
        <f>"102-41-20"</f>
        <v>102-41-20</v>
      </c>
      <c r="F1028" t="s">
        <v>27</v>
      </c>
      <c r="G1028" t="s">
        <v>28</v>
      </c>
      <c r="H1028">
        <v>1</v>
      </c>
      <c r="Q1028">
        <v>0</v>
      </c>
      <c r="R1028">
        <v>1</v>
      </c>
      <c r="S1028">
        <v>0</v>
      </c>
      <c r="T1028">
        <v>1</v>
      </c>
      <c r="U1028">
        <v>0</v>
      </c>
      <c r="V1028">
        <v>1</v>
      </c>
    </row>
    <row r="1029" spans="1:22" x14ac:dyDescent="0.25">
      <c r="A1029" t="str">
        <f>"1025"</f>
        <v>1025</v>
      </c>
      <c r="B1029" t="str">
        <f t="shared" ref="B1029:B1092" si="57">"102"</f>
        <v>102</v>
      </c>
      <c r="C1029" t="str">
        <f t="shared" si="56"/>
        <v>41</v>
      </c>
      <c r="D1029" t="str">
        <f>"7"</f>
        <v>7</v>
      </c>
      <c r="E1029" t="str">
        <f>"102-41-7"</f>
        <v>102-41-7</v>
      </c>
      <c r="F1029" t="s">
        <v>27</v>
      </c>
      <c r="G1029" t="s">
        <v>28</v>
      </c>
      <c r="H1029">
        <v>1</v>
      </c>
      <c r="Q1029">
        <v>0</v>
      </c>
      <c r="R1029">
        <v>1</v>
      </c>
      <c r="S1029">
        <v>0</v>
      </c>
      <c r="T1029">
        <v>1</v>
      </c>
      <c r="U1029">
        <v>0</v>
      </c>
      <c r="V1029">
        <v>1</v>
      </c>
    </row>
    <row r="1030" spans="1:22" x14ac:dyDescent="0.25">
      <c r="A1030" t="str">
        <f>"1026"</f>
        <v>1026</v>
      </c>
      <c r="B1030" t="str">
        <f t="shared" si="57"/>
        <v>102</v>
      </c>
      <c r="C1030" t="str">
        <f t="shared" ref="C1030:C1054" si="58">"42"</f>
        <v>42</v>
      </c>
      <c r="D1030" t="str">
        <f>"20"</f>
        <v>20</v>
      </c>
      <c r="E1030" t="str">
        <f>"102-42-20"</f>
        <v>102-42-20</v>
      </c>
      <c r="F1030" t="s">
        <v>27</v>
      </c>
      <c r="G1030" t="s">
        <v>28</v>
      </c>
      <c r="H1030">
        <v>1</v>
      </c>
      <c r="Q1030">
        <v>1</v>
      </c>
      <c r="R1030">
        <v>0</v>
      </c>
      <c r="S1030">
        <v>1</v>
      </c>
      <c r="T1030">
        <v>0</v>
      </c>
      <c r="U1030">
        <v>1</v>
      </c>
      <c r="V1030">
        <v>0</v>
      </c>
    </row>
    <row r="1031" spans="1:22" x14ac:dyDescent="0.25">
      <c r="A1031" t="str">
        <f>"1027"</f>
        <v>1027</v>
      </c>
      <c r="B1031" t="str">
        <f t="shared" si="57"/>
        <v>102</v>
      </c>
      <c r="C1031" t="str">
        <f t="shared" si="58"/>
        <v>42</v>
      </c>
      <c r="D1031" t="str">
        <f>"11"</f>
        <v>11</v>
      </c>
      <c r="E1031" t="str">
        <f>"102-42-11"</f>
        <v>102-42-11</v>
      </c>
      <c r="F1031" t="s">
        <v>27</v>
      </c>
      <c r="G1031" t="s">
        <v>28</v>
      </c>
      <c r="H1031">
        <v>1</v>
      </c>
      <c r="Q1031">
        <v>1</v>
      </c>
      <c r="R1031">
        <v>0</v>
      </c>
      <c r="S1031">
        <v>1</v>
      </c>
      <c r="T1031">
        <v>0</v>
      </c>
      <c r="U1031">
        <v>1</v>
      </c>
      <c r="V1031">
        <v>0</v>
      </c>
    </row>
    <row r="1032" spans="1:22" x14ac:dyDescent="0.25">
      <c r="A1032" t="str">
        <f>"1028"</f>
        <v>1028</v>
      </c>
      <c r="B1032" t="str">
        <f t="shared" si="57"/>
        <v>102</v>
      </c>
      <c r="C1032" t="str">
        <f t="shared" si="58"/>
        <v>42</v>
      </c>
      <c r="D1032" t="str">
        <f>"1"</f>
        <v>1</v>
      </c>
      <c r="E1032" t="str">
        <f>"102-42-1"</f>
        <v>102-42-1</v>
      </c>
      <c r="F1032" t="s">
        <v>27</v>
      </c>
      <c r="G1032" t="s">
        <v>28</v>
      </c>
      <c r="H1032">
        <v>1</v>
      </c>
      <c r="Q1032">
        <v>0</v>
      </c>
      <c r="R1032">
        <v>1</v>
      </c>
      <c r="S1032">
        <v>0</v>
      </c>
      <c r="T1032">
        <v>1</v>
      </c>
      <c r="U1032">
        <v>0</v>
      </c>
      <c r="V1032">
        <v>1</v>
      </c>
    </row>
    <row r="1033" spans="1:22" x14ac:dyDescent="0.25">
      <c r="A1033" t="str">
        <f>"1029"</f>
        <v>1029</v>
      </c>
      <c r="B1033" t="str">
        <f t="shared" si="57"/>
        <v>102</v>
      </c>
      <c r="C1033" t="str">
        <f t="shared" si="58"/>
        <v>42</v>
      </c>
      <c r="D1033" t="str">
        <f>"23"</f>
        <v>23</v>
      </c>
      <c r="E1033" t="str">
        <f>"102-42-23"</f>
        <v>102-42-23</v>
      </c>
      <c r="F1033" t="s">
        <v>27</v>
      </c>
      <c r="G1033" t="s">
        <v>28</v>
      </c>
      <c r="H1033">
        <v>1</v>
      </c>
      <c r="Q1033">
        <v>0</v>
      </c>
      <c r="R1033">
        <v>0</v>
      </c>
      <c r="S1033">
        <v>1</v>
      </c>
      <c r="T1033">
        <v>0</v>
      </c>
      <c r="U1033">
        <v>0</v>
      </c>
      <c r="V1033">
        <v>1</v>
      </c>
    </row>
    <row r="1034" spans="1:22" x14ac:dyDescent="0.25">
      <c r="A1034" t="str">
        <f>"1030"</f>
        <v>1030</v>
      </c>
      <c r="B1034" t="str">
        <f t="shared" si="57"/>
        <v>102</v>
      </c>
      <c r="C1034" t="str">
        <f t="shared" si="58"/>
        <v>42</v>
      </c>
      <c r="D1034" t="str">
        <f>"12"</f>
        <v>12</v>
      </c>
      <c r="E1034" t="str">
        <f>"102-42-12"</f>
        <v>102-42-12</v>
      </c>
      <c r="F1034" t="s">
        <v>27</v>
      </c>
      <c r="G1034" t="s">
        <v>28</v>
      </c>
      <c r="H1034">
        <v>1</v>
      </c>
      <c r="Q1034">
        <v>1</v>
      </c>
      <c r="R1034">
        <v>0</v>
      </c>
      <c r="S1034">
        <v>1</v>
      </c>
      <c r="T1034">
        <v>0</v>
      </c>
      <c r="U1034">
        <v>1</v>
      </c>
      <c r="V1034">
        <v>0</v>
      </c>
    </row>
    <row r="1035" spans="1:22" x14ac:dyDescent="0.25">
      <c r="A1035" t="str">
        <f>"1031"</f>
        <v>1031</v>
      </c>
      <c r="B1035" t="str">
        <f t="shared" si="57"/>
        <v>102</v>
      </c>
      <c r="C1035" t="str">
        <f t="shared" si="58"/>
        <v>42</v>
      </c>
      <c r="D1035" t="str">
        <f>"3"</f>
        <v>3</v>
      </c>
      <c r="E1035" t="str">
        <f>"102-42-3"</f>
        <v>102-42-3</v>
      </c>
      <c r="F1035" t="s">
        <v>27</v>
      </c>
      <c r="G1035" t="s">
        <v>28</v>
      </c>
      <c r="H1035">
        <v>1</v>
      </c>
      <c r="Q1035">
        <v>0</v>
      </c>
      <c r="R1035">
        <v>1</v>
      </c>
      <c r="S1035">
        <v>0</v>
      </c>
      <c r="T1035">
        <v>1</v>
      </c>
      <c r="U1035">
        <v>0</v>
      </c>
      <c r="V1035">
        <v>1</v>
      </c>
    </row>
    <row r="1036" spans="1:22" x14ac:dyDescent="0.25">
      <c r="A1036" t="str">
        <f>"1032"</f>
        <v>1032</v>
      </c>
      <c r="B1036" t="str">
        <f t="shared" si="57"/>
        <v>102</v>
      </c>
      <c r="C1036" t="str">
        <f t="shared" si="58"/>
        <v>42</v>
      </c>
      <c r="D1036" t="str">
        <f>"22"</f>
        <v>22</v>
      </c>
      <c r="E1036" t="str">
        <f>"102-42-22"</f>
        <v>102-42-22</v>
      </c>
      <c r="F1036" t="s">
        <v>27</v>
      </c>
      <c r="G1036" t="s">
        <v>28</v>
      </c>
      <c r="H1036">
        <v>1</v>
      </c>
      <c r="Q1036">
        <v>1</v>
      </c>
      <c r="R1036">
        <v>0</v>
      </c>
      <c r="S1036">
        <v>0</v>
      </c>
      <c r="T1036">
        <v>1</v>
      </c>
      <c r="U1036">
        <v>1</v>
      </c>
      <c r="V1036">
        <v>0</v>
      </c>
    </row>
    <row r="1037" spans="1:22" x14ac:dyDescent="0.25">
      <c r="A1037" t="str">
        <f>"1033"</f>
        <v>1033</v>
      </c>
      <c r="B1037" t="str">
        <f t="shared" si="57"/>
        <v>102</v>
      </c>
      <c r="C1037" t="str">
        <f t="shared" si="58"/>
        <v>42</v>
      </c>
      <c r="D1037" t="str">
        <f>"13"</f>
        <v>13</v>
      </c>
      <c r="E1037" t="str">
        <f>"102-42-13"</f>
        <v>102-42-13</v>
      </c>
      <c r="F1037" t="s">
        <v>27</v>
      </c>
      <c r="G1037" t="s">
        <v>28</v>
      </c>
      <c r="H1037">
        <v>1</v>
      </c>
      <c r="Q1037">
        <v>1</v>
      </c>
      <c r="R1037">
        <v>0</v>
      </c>
      <c r="S1037">
        <v>1</v>
      </c>
      <c r="T1037">
        <v>0</v>
      </c>
      <c r="U1037">
        <v>1</v>
      </c>
      <c r="V1037">
        <v>0</v>
      </c>
    </row>
    <row r="1038" spans="1:22" x14ac:dyDescent="0.25">
      <c r="A1038" t="str">
        <f>"1034"</f>
        <v>1034</v>
      </c>
      <c r="B1038" t="str">
        <f t="shared" si="57"/>
        <v>102</v>
      </c>
      <c r="C1038" t="str">
        <f t="shared" si="58"/>
        <v>42</v>
      </c>
      <c r="D1038" t="str">
        <f>"6"</f>
        <v>6</v>
      </c>
      <c r="E1038" t="str">
        <f>"102-42-6"</f>
        <v>102-42-6</v>
      </c>
      <c r="F1038" t="s">
        <v>27</v>
      </c>
      <c r="G1038" t="s">
        <v>28</v>
      </c>
      <c r="H1038">
        <v>1</v>
      </c>
      <c r="Q1038">
        <v>0</v>
      </c>
      <c r="R1038">
        <v>1</v>
      </c>
      <c r="S1038">
        <v>0</v>
      </c>
      <c r="T1038">
        <v>1</v>
      </c>
      <c r="U1038">
        <v>1</v>
      </c>
      <c r="V1038">
        <v>0</v>
      </c>
    </row>
    <row r="1039" spans="1:22" x14ac:dyDescent="0.25">
      <c r="A1039" t="str">
        <f>"1035"</f>
        <v>1035</v>
      </c>
      <c r="B1039" t="str">
        <f t="shared" si="57"/>
        <v>102</v>
      </c>
      <c r="C1039" t="str">
        <f t="shared" si="58"/>
        <v>42</v>
      </c>
      <c r="D1039" t="str">
        <f>"24"</f>
        <v>24</v>
      </c>
      <c r="E1039" t="str">
        <f>"102-42-24"</f>
        <v>102-42-24</v>
      </c>
      <c r="F1039" t="s">
        <v>27</v>
      </c>
      <c r="G1039" t="s">
        <v>28</v>
      </c>
      <c r="H1039">
        <v>1</v>
      </c>
      <c r="Q1039">
        <v>1</v>
      </c>
      <c r="R1039">
        <v>0</v>
      </c>
      <c r="S1039">
        <v>1</v>
      </c>
      <c r="T1039">
        <v>0</v>
      </c>
      <c r="U1039">
        <v>0</v>
      </c>
      <c r="V1039">
        <v>1</v>
      </c>
    </row>
    <row r="1040" spans="1:22" x14ac:dyDescent="0.25">
      <c r="A1040" t="str">
        <f>"1036"</f>
        <v>1036</v>
      </c>
      <c r="B1040" t="str">
        <f t="shared" si="57"/>
        <v>102</v>
      </c>
      <c r="C1040" t="str">
        <f t="shared" si="58"/>
        <v>42</v>
      </c>
      <c r="D1040" t="str">
        <f>"14"</f>
        <v>14</v>
      </c>
      <c r="E1040" t="str">
        <f>"102-42-14"</f>
        <v>102-42-14</v>
      </c>
      <c r="F1040" t="s">
        <v>27</v>
      </c>
      <c r="G1040" t="s">
        <v>28</v>
      </c>
      <c r="H1040">
        <v>1</v>
      </c>
      <c r="Q1040">
        <v>0</v>
      </c>
      <c r="R1040">
        <v>1</v>
      </c>
      <c r="S1040">
        <v>0</v>
      </c>
      <c r="T1040">
        <v>1</v>
      </c>
      <c r="U1040">
        <v>0</v>
      </c>
      <c r="V1040">
        <v>0</v>
      </c>
    </row>
    <row r="1041" spans="1:26" x14ac:dyDescent="0.25">
      <c r="A1041" t="str">
        <f>"1037"</f>
        <v>1037</v>
      </c>
      <c r="B1041" t="str">
        <f t="shared" si="57"/>
        <v>102</v>
      </c>
      <c r="C1041" t="str">
        <f t="shared" si="58"/>
        <v>42</v>
      </c>
      <c r="D1041" t="str">
        <f>"8"</f>
        <v>8</v>
      </c>
      <c r="E1041" t="str">
        <f>"102-42-8"</f>
        <v>102-42-8</v>
      </c>
      <c r="F1041" t="s">
        <v>27</v>
      </c>
      <c r="G1041" t="s">
        <v>28</v>
      </c>
      <c r="H1041">
        <v>1</v>
      </c>
      <c r="Q1041">
        <v>0</v>
      </c>
      <c r="R1041">
        <v>1</v>
      </c>
      <c r="S1041">
        <v>0</v>
      </c>
      <c r="T1041">
        <v>1</v>
      </c>
      <c r="U1041">
        <v>1</v>
      </c>
      <c r="V1041">
        <v>0</v>
      </c>
    </row>
    <row r="1042" spans="1:26" x14ac:dyDescent="0.25">
      <c r="A1042" t="str">
        <f>"1038"</f>
        <v>1038</v>
      </c>
      <c r="B1042" t="str">
        <f t="shared" si="57"/>
        <v>102</v>
      </c>
      <c r="C1042" t="str">
        <f t="shared" si="58"/>
        <v>42</v>
      </c>
      <c r="D1042" t="str">
        <f>"25"</f>
        <v>25</v>
      </c>
      <c r="E1042" t="str">
        <f>"102-42-25"</f>
        <v>102-42-25</v>
      </c>
      <c r="F1042" t="s">
        <v>27</v>
      </c>
      <c r="G1042" t="s">
        <v>28</v>
      </c>
      <c r="H1042">
        <v>1</v>
      </c>
      <c r="Q1042">
        <v>0</v>
      </c>
      <c r="R1042">
        <v>1</v>
      </c>
      <c r="S1042">
        <v>0</v>
      </c>
      <c r="T1042">
        <v>1</v>
      </c>
      <c r="U1042">
        <v>0</v>
      </c>
      <c r="V1042">
        <v>1</v>
      </c>
    </row>
    <row r="1043" spans="1:26" x14ac:dyDescent="0.25">
      <c r="A1043" t="str">
        <f>"1039"</f>
        <v>1039</v>
      </c>
      <c r="B1043" t="str">
        <f t="shared" si="57"/>
        <v>102</v>
      </c>
      <c r="C1043" t="str">
        <f t="shared" si="58"/>
        <v>42</v>
      </c>
      <c r="D1043" t="str">
        <f>"15"</f>
        <v>15</v>
      </c>
      <c r="E1043" t="str">
        <f>"102-42-15"</f>
        <v>102-42-15</v>
      </c>
      <c r="F1043" t="s">
        <v>27</v>
      </c>
      <c r="G1043" t="s">
        <v>28</v>
      </c>
      <c r="H1043">
        <v>1</v>
      </c>
      <c r="Q1043">
        <v>0</v>
      </c>
      <c r="R1043">
        <v>1</v>
      </c>
      <c r="S1043">
        <v>0</v>
      </c>
      <c r="T1043">
        <v>1</v>
      </c>
      <c r="U1043">
        <v>0</v>
      </c>
      <c r="V1043">
        <v>1</v>
      </c>
    </row>
    <row r="1044" spans="1:26" x14ac:dyDescent="0.25">
      <c r="A1044" t="str">
        <f>"1040"</f>
        <v>1040</v>
      </c>
      <c r="B1044" t="str">
        <f t="shared" si="57"/>
        <v>102</v>
      </c>
      <c r="C1044" t="str">
        <f t="shared" si="58"/>
        <v>42</v>
      </c>
      <c r="D1044" t="str">
        <f>"7"</f>
        <v>7</v>
      </c>
      <c r="E1044" t="str">
        <f>"102-42-7"</f>
        <v>102-42-7</v>
      </c>
      <c r="F1044" t="s">
        <v>27</v>
      </c>
      <c r="G1044" t="s">
        <v>28</v>
      </c>
      <c r="H1044">
        <v>1</v>
      </c>
      <c r="Q1044">
        <v>0</v>
      </c>
      <c r="R1044">
        <v>1</v>
      </c>
      <c r="S1044">
        <v>0</v>
      </c>
      <c r="T1044">
        <v>1</v>
      </c>
      <c r="U1044">
        <v>0</v>
      </c>
      <c r="V1044">
        <v>1</v>
      </c>
    </row>
    <row r="1045" spans="1:26" x14ac:dyDescent="0.25">
      <c r="A1045" t="str">
        <f>"1041"</f>
        <v>1041</v>
      </c>
      <c r="B1045" t="str">
        <f t="shared" si="57"/>
        <v>102</v>
      </c>
      <c r="C1045" t="str">
        <f t="shared" si="58"/>
        <v>42</v>
      </c>
      <c r="D1045" t="str">
        <f>"16"</f>
        <v>16</v>
      </c>
      <c r="E1045" t="str">
        <f>"102-42-16"</f>
        <v>102-42-16</v>
      </c>
      <c r="F1045" t="s">
        <v>27</v>
      </c>
      <c r="G1045" t="s">
        <v>28</v>
      </c>
      <c r="H1045">
        <v>1</v>
      </c>
      <c r="Q1045">
        <v>1</v>
      </c>
      <c r="R1045">
        <v>0</v>
      </c>
      <c r="S1045">
        <v>1</v>
      </c>
      <c r="T1045">
        <v>0</v>
      </c>
      <c r="U1045">
        <v>1</v>
      </c>
      <c r="V1045">
        <v>0</v>
      </c>
    </row>
    <row r="1046" spans="1:26" x14ac:dyDescent="0.25">
      <c r="A1046" t="str">
        <f>"1042"</f>
        <v>1042</v>
      </c>
      <c r="B1046" t="str">
        <f t="shared" si="57"/>
        <v>102</v>
      </c>
      <c r="C1046" t="str">
        <f t="shared" si="58"/>
        <v>42</v>
      </c>
      <c r="D1046" t="str">
        <f>"4"</f>
        <v>4</v>
      </c>
      <c r="E1046" t="str">
        <f>"102-42-4"</f>
        <v>102-42-4</v>
      </c>
      <c r="F1046" t="s">
        <v>27</v>
      </c>
      <c r="G1046" t="s">
        <v>28</v>
      </c>
      <c r="H1046">
        <v>1</v>
      </c>
      <c r="Q1046">
        <v>0</v>
      </c>
      <c r="R1046">
        <v>1</v>
      </c>
      <c r="S1046">
        <v>0</v>
      </c>
      <c r="T1046">
        <v>1</v>
      </c>
      <c r="U1046">
        <v>0</v>
      </c>
      <c r="V1046">
        <v>1</v>
      </c>
    </row>
    <row r="1047" spans="1:26" x14ac:dyDescent="0.25">
      <c r="A1047" t="str">
        <f>"1043"</f>
        <v>1043</v>
      </c>
      <c r="B1047" t="str">
        <f t="shared" si="57"/>
        <v>102</v>
      </c>
      <c r="C1047" t="str">
        <f t="shared" si="58"/>
        <v>42</v>
      </c>
      <c r="D1047" t="str">
        <f>"17"</f>
        <v>17</v>
      </c>
      <c r="E1047" t="str">
        <f>"102-42-17"</f>
        <v>102-42-17</v>
      </c>
      <c r="F1047" t="s">
        <v>27</v>
      </c>
      <c r="G1047" t="s">
        <v>28</v>
      </c>
      <c r="H1047">
        <v>1</v>
      </c>
      <c r="Q1047">
        <v>0</v>
      </c>
      <c r="R1047">
        <v>1</v>
      </c>
      <c r="S1047">
        <v>0</v>
      </c>
      <c r="T1047">
        <v>1</v>
      </c>
      <c r="U1047">
        <v>0</v>
      </c>
      <c r="V1047">
        <v>1</v>
      </c>
    </row>
    <row r="1048" spans="1:26" x14ac:dyDescent="0.25">
      <c r="A1048" t="str">
        <f>"1044"</f>
        <v>1044</v>
      </c>
      <c r="B1048" t="str">
        <f t="shared" si="57"/>
        <v>102</v>
      </c>
      <c r="C1048" t="str">
        <f t="shared" si="58"/>
        <v>42</v>
      </c>
      <c r="D1048" t="str">
        <f>"2"</f>
        <v>2</v>
      </c>
      <c r="E1048" t="str">
        <f>"102-42-2"</f>
        <v>102-42-2</v>
      </c>
      <c r="F1048" t="s">
        <v>27</v>
      </c>
      <c r="G1048" t="s">
        <v>28</v>
      </c>
      <c r="H1048">
        <v>1</v>
      </c>
      <c r="Q1048">
        <v>0</v>
      </c>
      <c r="R1048">
        <v>1</v>
      </c>
      <c r="S1048">
        <v>0</v>
      </c>
      <c r="T1048">
        <v>1</v>
      </c>
      <c r="U1048">
        <v>0</v>
      </c>
      <c r="V1048">
        <v>1</v>
      </c>
    </row>
    <row r="1049" spans="1:26" x14ac:dyDescent="0.25">
      <c r="A1049" t="str">
        <f>"1045"</f>
        <v>1045</v>
      </c>
      <c r="B1049" t="str">
        <f t="shared" si="57"/>
        <v>102</v>
      </c>
      <c r="C1049" t="str">
        <f t="shared" si="58"/>
        <v>42</v>
      </c>
      <c r="D1049" t="str">
        <f>"18"</f>
        <v>18</v>
      </c>
      <c r="E1049" t="str">
        <f>"102-42-18"</f>
        <v>102-42-18</v>
      </c>
      <c r="F1049" t="s">
        <v>27</v>
      </c>
      <c r="G1049" t="s">
        <v>28</v>
      </c>
      <c r="H1049">
        <v>1</v>
      </c>
      <c r="Q1049">
        <v>0</v>
      </c>
      <c r="R1049">
        <v>1</v>
      </c>
      <c r="S1049">
        <v>0</v>
      </c>
      <c r="T1049">
        <v>1</v>
      </c>
      <c r="U1049">
        <v>1</v>
      </c>
      <c r="V1049">
        <v>0</v>
      </c>
    </row>
    <row r="1050" spans="1:26" x14ac:dyDescent="0.25">
      <c r="A1050" t="str">
        <f>"1046"</f>
        <v>1046</v>
      </c>
      <c r="B1050" t="str">
        <f t="shared" si="57"/>
        <v>102</v>
      </c>
      <c r="C1050" t="str">
        <f t="shared" si="58"/>
        <v>42</v>
      </c>
      <c r="D1050" t="str">
        <f>"10"</f>
        <v>10</v>
      </c>
      <c r="E1050" t="str">
        <f>"102-42-10"</f>
        <v>102-42-10</v>
      </c>
      <c r="F1050" t="s">
        <v>27</v>
      </c>
      <c r="G1050" t="s">
        <v>28</v>
      </c>
      <c r="H1050">
        <v>1</v>
      </c>
      <c r="Q1050">
        <v>1</v>
      </c>
      <c r="R1050">
        <v>0</v>
      </c>
      <c r="S1050">
        <v>1</v>
      </c>
      <c r="T1050">
        <v>0</v>
      </c>
      <c r="U1050">
        <v>1</v>
      </c>
      <c r="V1050">
        <v>0</v>
      </c>
    </row>
    <row r="1051" spans="1:26" x14ac:dyDescent="0.25">
      <c r="A1051" t="str">
        <f>"1047"</f>
        <v>1047</v>
      </c>
      <c r="B1051" t="str">
        <f t="shared" si="57"/>
        <v>102</v>
      </c>
      <c r="C1051" t="str">
        <f t="shared" si="58"/>
        <v>42</v>
      </c>
      <c r="D1051" t="str">
        <f>"19"</f>
        <v>19</v>
      </c>
      <c r="E1051" t="str">
        <f>"102-42-19"</f>
        <v>102-42-19</v>
      </c>
      <c r="F1051" t="s">
        <v>27</v>
      </c>
      <c r="G1051" t="s">
        <v>28</v>
      </c>
      <c r="H1051">
        <v>1</v>
      </c>
      <c r="Q1051">
        <v>0</v>
      </c>
      <c r="R1051">
        <v>1</v>
      </c>
      <c r="S1051">
        <v>1</v>
      </c>
      <c r="T1051">
        <v>0</v>
      </c>
      <c r="U1051">
        <v>1</v>
      </c>
      <c r="V1051">
        <v>0</v>
      </c>
    </row>
    <row r="1052" spans="1:26" x14ac:dyDescent="0.25">
      <c r="A1052" t="str">
        <f>"1048"</f>
        <v>1048</v>
      </c>
      <c r="B1052" t="str">
        <f t="shared" si="57"/>
        <v>102</v>
      </c>
      <c r="C1052" t="str">
        <f t="shared" si="58"/>
        <v>42</v>
      </c>
      <c r="D1052" t="str">
        <f>"21"</f>
        <v>21</v>
      </c>
      <c r="E1052" t="str">
        <f>"102-42-21"</f>
        <v>102-42-21</v>
      </c>
      <c r="F1052" t="s">
        <v>27</v>
      </c>
      <c r="G1052" t="s">
        <v>28</v>
      </c>
      <c r="H1052">
        <v>1</v>
      </c>
      <c r="Q1052">
        <v>0</v>
      </c>
      <c r="R1052">
        <v>1</v>
      </c>
      <c r="S1052">
        <v>0</v>
      </c>
      <c r="T1052">
        <v>1</v>
      </c>
      <c r="U1052">
        <v>0</v>
      </c>
      <c r="V1052">
        <v>1</v>
      </c>
    </row>
    <row r="1053" spans="1:26" x14ac:dyDescent="0.25">
      <c r="A1053" t="str">
        <f>"1049"</f>
        <v>1049</v>
      </c>
      <c r="B1053" t="str">
        <f t="shared" si="57"/>
        <v>102</v>
      </c>
      <c r="C1053" t="str">
        <f t="shared" si="58"/>
        <v>42</v>
      </c>
      <c r="D1053" t="str">
        <f>"9"</f>
        <v>9</v>
      </c>
      <c r="E1053" t="str">
        <f>"102-42-9"</f>
        <v>102-42-9</v>
      </c>
      <c r="F1053" t="s">
        <v>27</v>
      </c>
      <c r="G1053" t="s">
        <v>29</v>
      </c>
      <c r="H1053">
        <v>3</v>
      </c>
      <c r="M1053">
        <v>1</v>
      </c>
      <c r="N1053">
        <v>0</v>
      </c>
      <c r="O1053">
        <v>1</v>
      </c>
      <c r="P1053">
        <v>1</v>
      </c>
      <c r="Q1053">
        <v>1</v>
      </c>
      <c r="R1053">
        <v>0</v>
      </c>
      <c r="S1053">
        <v>1</v>
      </c>
      <c r="T1053">
        <v>0</v>
      </c>
      <c r="U1053">
        <v>1</v>
      </c>
      <c r="V1053">
        <v>0</v>
      </c>
      <c r="Y1053">
        <v>1</v>
      </c>
      <c r="Z1053">
        <v>0</v>
      </c>
    </row>
    <row r="1054" spans="1:26" x14ac:dyDescent="0.25">
      <c r="A1054" t="str">
        <f>"1050"</f>
        <v>1050</v>
      </c>
      <c r="B1054" t="str">
        <f t="shared" si="57"/>
        <v>102</v>
      </c>
      <c r="C1054" t="str">
        <f t="shared" si="58"/>
        <v>42</v>
      </c>
      <c r="D1054" t="str">
        <f>"5"</f>
        <v>5</v>
      </c>
      <c r="E1054" t="str">
        <f>"102-42-5"</f>
        <v>102-42-5</v>
      </c>
      <c r="F1054" t="s">
        <v>27</v>
      </c>
      <c r="G1054" t="s">
        <v>28</v>
      </c>
      <c r="H1054">
        <v>1</v>
      </c>
      <c r="Q1054">
        <v>1</v>
      </c>
      <c r="R1054">
        <v>0</v>
      </c>
      <c r="S1054">
        <v>1</v>
      </c>
      <c r="T1054">
        <v>0</v>
      </c>
      <c r="U1054">
        <v>0</v>
      </c>
      <c r="V1054">
        <v>1</v>
      </c>
    </row>
    <row r="1055" spans="1:26" x14ac:dyDescent="0.25">
      <c r="A1055" t="str">
        <f>"1051"</f>
        <v>1051</v>
      </c>
      <c r="B1055" t="str">
        <f t="shared" si="57"/>
        <v>102</v>
      </c>
      <c r="C1055" t="str">
        <f t="shared" ref="C1055:C1079" si="59">"43"</f>
        <v>43</v>
      </c>
      <c r="D1055" t="str">
        <f>"21"</f>
        <v>21</v>
      </c>
      <c r="E1055" t="str">
        <f>"102-43-21"</f>
        <v>102-43-21</v>
      </c>
      <c r="F1055" t="s">
        <v>27</v>
      </c>
      <c r="G1055" t="s">
        <v>28</v>
      </c>
      <c r="H1055">
        <v>1</v>
      </c>
      <c r="Q1055">
        <v>0</v>
      </c>
      <c r="R1055">
        <v>1</v>
      </c>
      <c r="S1055">
        <v>0</v>
      </c>
      <c r="T1055">
        <v>1</v>
      </c>
      <c r="U1055">
        <v>1</v>
      </c>
      <c r="V1055">
        <v>0</v>
      </c>
    </row>
    <row r="1056" spans="1:26" x14ac:dyDescent="0.25">
      <c r="A1056" t="str">
        <f>"1052"</f>
        <v>1052</v>
      </c>
      <c r="B1056" t="str">
        <f t="shared" si="57"/>
        <v>102</v>
      </c>
      <c r="C1056" t="str">
        <f t="shared" si="59"/>
        <v>43</v>
      </c>
      <c r="D1056" t="str">
        <f>"11"</f>
        <v>11</v>
      </c>
      <c r="E1056" t="str">
        <f>"102-43-11"</f>
        <v>102-43-11</v>
      </c>
      <c r="F1056" t="s">
        <v>27</v>
      </c>
      <c r="G1056" t="s">
        <v>28</v>
      </c>
      <c r="H1056">
        <v>1</v>
      </c>
      <c r="Q1056">
        <v>1</v>
      </c>
      <c r="R1056">
        <v>0</v>
      </c>
      <c r="S1056">
        <v>1</v>
      </c>
      <c r="T1056">
        <v>0</v>
      </c>
      <c r="U1056">
        <v>1</v>
      </c>
      <c r="V1056">
        <v>0</v>
      </c>
    </row>
    <row r="1057" spans="1:26" x14ac:dyDescent="0.25">
      <c r="A1057" t="str">
        <f>"1053"</f>
        <v>1053</v>
      </c>
      <c r="B1057" t="str">
        <f t="shared" si="57"/>
        <v>102</v>
      </c>
      <c r="C1057" t="str">
        <f t="shared" si="59"/>
        <v>43</v>
      </c>
      <c r="D1057" t="str">
        <f>"2"</f>
        <v>2</v>
      </c>
      <c r="E1057" t="str">
        <f>"102-43-2"</f>
        <v>102-43-2</v>
      </c>
      <c r="F1057" t="s">
        <v>27</v>
      </c>
      <c r="G1057" t="s">
        <v>28</v>
      </c>
      <c r="H1057">
        <v>1</v>
      </c>
      <c r="Q1057">
        <v>0</v>
      </c>
      <c r="R1057">
        <v>0</v>
      </c>
      <c r="S1057">
        <v>0</v>
      </c>
      <c r="T1057">
        <v>1</v>
      </c>
      <c r="U1057">
        <v>0</v>
      </c>
      <c r="V1057">
        <v>1</v>
      </c>
    </row>
    <row r="1058" spans="1:26" x14ac:dyDescent="0.25">
      <c r="A1058" t="str">
        <f>"1054"</f>
        <v>1054</v>
      </c>
      <c r="B1058" t="str">
        <f t="shared" si="57"/>
        <v>102</v>
      </c>
      <c r="C1058" t="str">
        <f t="shared" si="59"/>
        <v>43</v>
      </c>
      <c r="D1058" t="str">
        <f>"23"</f>
        <v>23</v>
      </c>
      <c r="E1058" t="str">
        <f>"102-43-23"</f>
        <v>102-43-23</v>
      </c>
      <c r="F1058" t="s">
        <v>27</v>
      </c>
      <c r="G1058" t="s">
        <v>28</v>
      </c>
      <c r="H1058">
        <v>1</v>
      </c>
      <c r="Q1058">
        <v>0</v>
      </c>
      <c r="R1058">
        <v>1</v>
      </c>
      <c r="S1058">
        <v>0</v>
      </c>
      <c r="T1058">
        <v>1</v>
      </c>
      <c r="U1058">
        <v>0</v>
      </c>
      <c r="V1058">
        <v>1</v>
      </c>
    </row>
    <row r="1059" spans="1:26" x14ac:dyDescent="0.25">
      <c r="A1059" t="str">
        <f>"1055"</f>
        <v>1055</v>
      </c>
      <c r="B1059" t="str">
        <f t="shared" si="57"/>
        <v>102</v>
      </c>
      <c r="C1059" t="str">
        <f t="shared" si="59"/>
        <v>43</v>
      </c>
      <c r="D1059" t="str">
        <f>"12"</f>
        <v>12</v>
      </c>
      <c r="E1059" t="str">
        <f>"102-43-12"</f>
        <v>102-43-12</v>
      </c>
      <c r="F1059" t="s">
        <v>27</v>
      </c>
      <c r="G1059" t="s">
        <v>28</v>
      </c>
      <c r="H1059">
        <v>1</v>
      </c>
      <c r="Q1059">
        <v>1</v>
      </c>
      <c r="R1059">
        <v>0</v>
      </c>
      <c r="S1059">
        <v>1</v>
      </c>
      <c r="T1059">
        <v>0</v>
      </c>
      <c r="U1059">
        <v>1</v>
      </c>
      <c r="V1059">
        <v>0</v>
      </c>
    </row>
    <row r="1060" spans="1:26" x14ac:dyDescent="0.25">
      <c r="A1060" t="str">
        <f>"1056"</f>
        <v>1056</v>
      </c>
      <c r="B1060" t="str">
        <f t="shared" si="57"/>
        <v>102</v>
      </c>
      <c r="C1060" t="str">
        <f t="shared" si="59"/>
        <v>43</v>
      </c>
      <c r="D1060" t="str">
        <f>"1"</f>
        <v>1</v>
      </c>
      <c r="E1060" t="str">
        <f>"102-43-1"</f>
        <v>102-43-1</v>
      </c>
      <c r="F1060" t="s">
        <v>27</v>
      </c>
      <c r="G1060" t="s">
        <v>28</v>
      </c>
      <c r="H1060">
        <v>1</v>
      </c>
      <c r="Q1060">
        <v>0</v>
      </c>
      <c r="R1060">
        <v>1</v>
      </c>
      <c r="S1060">
        <v>0</v>
      </c>
      <c r="T1060">
        <v>1</v>
      </c>
      <c r="U1060">
        <v>1</v>
      </c>
      <c r="V1060">
        <v>0</v>
      </c>
    </row>
    <row r="1061" spans="1:26" x14ac:dyDescent="0.25">
      <c r="A1061" t="str">
        <f>"1057"</f>
        <v>1057</v>
      </c>
      <c r="B1061" t="str">
        <f t="shared" si="57"/>
        <v>102</v>
      </c>
      <c r="C1061" t="str">
        <f t="shared" si="59"/>
        <v>43</v>
      </c>
      <c r="D1061" t="str">
        <f>"22"</f>
        <v>22</v>
      </c>
      <c r="E1061" t="str">
        <f>"102-43-22"</f>
        <v>102-43-22</v>
      </c>
      <c r="F1061" t="s">
        <v>27</v>
      </c>
      <c r="G1061" t="s">
        <v>28</v>
      </c>
      <c r="H1061">
        <v>1</v>
      </c>
      <c r="Q1061">
        <v>0</v>
      </c>
      <c r="R1061">
        <v>1</v>
      </c>
      <c r="S1061">
        <v>0</v>
      </c>
      <c r="T1061">
        <v>1</v>
      </c>
      <c r="U1061">
        <v>1</v>
      </c>
      <c r="V1061">
        <v>0</v>
      </c>
    </row>
    <row r="1062" spans="1:26" x14ac:dyDescent="0.25">
      <c r="A1062" t="str">
        <f>"1058"</f>
        <v>1058</v>
      </c>
      <c r="B1062" t="str">
        <f t="shared" si="57"/>
        <v>102</v>
      </c>
      <c r="C1062" t="str">
        <f t="shared" si="59"/>
        <v>43</v>
      </c>
      <c r="D1062" t="str">
        <f>"13"</f>
        <v>13</v>
      </c>
      <c r="E1062" t="str">
        <f>"102-43-13"</f>
        <v>102-43-13</v>
      </c>
      <c r="F1062" t="s">
        <v>27</v>
      </c>
      <c r="G1062" t="s">
        <v>30</v>
      </c>
      <c r="H1062">
        <v>2</v>
      </c>
      <c r="I1062">
        <v>1</v>
      </c>
      <c r="J1062">
        <v>0</v>
      </c>
      <c r="K1062">
        <v>0</v>
      </c>
      <c r="L1062">
        <v>1</v>
      </c>
      <c r="Q1062">
        <v>0</v>
      </c>
      <c r="R1062">
        <v>1</v>
      </c>
      <c r="S1062">
        <v>0</v>
      </c>
      <c r="T1062">
        <v>1</v>
      </c>
      <c r="U1062">
        <v>0</v>
      </c>
      <c r="V1062">
        <v>1</v>
      </c>
      <c r="W1062">
        <v>0</v>
      </c>
      <c r="X1062">
        <v>1</v>
      </c>
    </row>
    <row r="1063" spans="1:26" x14ac:dyDescent="0.25">
      <c r="A1063" t="str">
        <f>"1059"</f>
        <v>1059</v>
      </c>
      <c r="B1063" t="str">
        <f t="shared" si="57"/>
        <v>102</v>
      </c>
      <c r="C1063" t="str">
        <f t="shared" si="59"/>
        <v>43</v>
      </c>
      <c r="D1063" t="str">
        <f>"5"</f>
        <v>5</v>
      </c>
      <c r="E1063" t="str">
        <f>"102-43-5"</f>
        <v>102-43-5</v>
      </c>
      <c r="F1063" t="s">
        <v>27</v>
      </c>
      <c r="G1063" t="s">
        <v>28</v>
      </c>
      <c r="H1063">
        <v>1</v>
      </c>
      <c r="Q1063">
        <v>0</v>
      </c>
      <c r="R1063">
        <v>1</v>
      </c>
      <c r="S1063">
        <v>0</v>
      </c>
      <c r="T1063">
        <v>1</v>
      </c>
      <c r="U1063">
        <v>1</v>
      </c>
      <c r="V1063">
        <v>0</v>
      </c>
    </row>
    <row r="1064" spans="1:26" x14ac:dyDescent="0.25">
      <c r="A1064" t="str">
        <f>"1060"</f>
        <v>1060</v>
      </c>
      <c r="B1064" t="str">
        <f t="shared" si="57"/>
        <v>102</v>
      </c>
      <c r="C1064" t="str">
        <f t="shared" si="59"/>
        <v>43</v>
      </c>
      <c r="D1064" t="str">
        <f>"24"</f>
        <v>24</v>
      </c>
      <c r="E1064" t="str">
        <f>"102-43-24"</f>
        <v>102-43-24</v>
      </c>
      <c r="F1064" t="s">
        <v>27</v>
      </c>
      <c r="G1064" t="s">
        <v>28</v>
      </c>
      <c r="H1064">
        <v>1</v>
      </c>
      <c r="Q1064">
        <v>0</v>
      </c>
      <c r="R1064">
        <v>1</v>
      </c>
      <c r="S1064">
        <v>0</v>
      </c>
      <c r="T1064">
        <v>1</v>
      </c>
      <c r="U1064">
        <v>0</v>
      </c>
      <c r="V1064">
        <v>1</v>
      </c>
    </row>
    <row r="1065" spans="1:26" x14ac:dyDescent="0.25">
      <c r="A1065" t="str">
        <f>"1061"</f>
        <v>1061</v>
      </c>
      <c r="B1065" t="str">
        <f t="shared" si="57"/>
        <v>102</v>
      </c>
      <c r="C1065" t="str">
        <f t="shared" si="59"/>
        <v>43</v>
      </c>
      <c r="D1065" t="str">
        <f>"14"</f>
        <v>14</v>
      </c>
      <c r="E1065" t="str">
        <f>"102-43-14"</f>
        <v>102-43-14</v>
      </c>
      <c r="F1065" t="s">
        <v>27</v>
      </c>
      <c r="G1065" t="s">
        <v>28</v>
      </c>
      <c r="H1065">
        <v>1</v>
      </c>
      <c r="Q1065">
        <v>0</v>
      </c>
      <c r="R1065">
        <v>1</v>
      </c>
      <c r="S1065">
        <v>0</v>
      </c>
      <c r="T1065">
        <v>1</v>
      </c>
      <c r="U1065">
        <v>1</v>
      </c>
      <c r="V1065">
        <v>0</v>
      </c>
    </row>
    <row r="1066" spans="1:26" x14ac:dyDescent="0.25">
      <c r="A1066" t="str">
        <f>"1062"</f>
        <v>1062</v>
      </c>
      <c r="B1066" t="str">
        <f t="shared" si="57"/>
        <v>102</v>
      </c>
      <c r="C1066" t="str">
        <f t="shared" si="59"/>
        <v>43</v>
      </c>
      <c r="D1066" t="str">
        <f>"4"</f>
        <v>4</v>
      </c>
      <c r="E1066" t="str">
        <f>"102-43-4"</f>
        <v>102-43-4</v>
      </c>
      <c r="F1066" t="s">
        <v>27</v>
      </c>
      <c r="G1066" t="s">
        <v>28</v>
      </c>
      <c r="H1066">
        <v>1</v>
      </c>
      <c r="Q1066">
        <v>1</v>
      </c>
      <c r="R1066">
        <v>0</v>
      </c>
      <c r="S1066">
        <v>1</v>
      </c>
      <c r="T1066">
        <v>0</v>
      </c>
      <c r="U1066">
        <v>1</v>
      </c>
      <c r="V1066">
        <v>0</v>
      </c>
    </row>
    <row r="1067" spans="1:26" x14ac:dyDescent="0.25">
      <c r="A1067" t="str">
        <f>"1063"</f>
        <v>1063</v>
      </c>
      <c r="B1067" t="str">
        <f t="shared" si="57"/>
        <v>102</v>
      </c>
      <c r="C1067" t="str">
        <f t="shared" si="59"/>
        <v>43</v>
      </c>
      <c r="D1067" t="str">
        <f>"15"</f>
        <v>15</v>
      </c>
      <c r="E1067" t="str">
        <f>"102-43-15"</f>
        <v>102-43-15</v>
      </c>
      <c r="F1067" t="s">
        <v>27</v>
      </c>
      <c r="G1067" t="s">
        <v>29</v>
      </c>
      <c r="H1067">
        <v>3</v>
      </c>
      <c r="M1067">
        <v>1</v>
      </c>
      <c r="N1067">
        <v>0</v>
      </c>
      <c r="O1067">
        <v>1</v>
      </c>
      <c r="P1067">
        <v>1</v>
      </c>
      <c r="Q1067">
        <v>0</v>
      </c>
      <c r="R1067">
        <v>1</v>
      </c>
      <c r="S1067">
        <v>0</v>
      </c>
      <c r="T1067">
        <v>1</v>
      </c>
      <c r="U1067">
        <v>0</v>
      </c>
      <c r="V1067">
        <v>1</v>
      </c>
      <c r="Y1067">
        <v>1</v>
      </c>
      <c r="Z1067">
        <v>0</v>
      </c>
    </row>
    <row r="1068" spans="1:26" x14ac:dyDescent="0.25">
      <c r="A1068" t="str">
        <f>"1064"</f>
        <v>1064</v>
      </c>
      <c r="B1068" t="str">
        <f t="shared" si="57"/>
        <v>102</v>
      </c>
      <c r="C1068" t="str">
        <f t="shared" si="59"/>
        <v>43</v>
      </c>
      <c r="D1068" t="str">
        <f>"6"</f>
        <v>6</v>
      </c>
      <c r="E1068" t="str">
        <f>"102-43-6"</f>
        <v>102-43-6</v>
      </c>
      <c r="F1068" t="s">
        <v>27</v>
      </c>
      <c r="G1068" t="s">
        <v>28</v>
      </c>
      <c r="H1068">
        <v>1</v>
      </c>
      <c r="Q1068">
        <v>0</v>
      </c>
      <c r="R1068">
        <v>1</v>
      </c>
      <c r="S1068">
        <v>0</v>
      </c>
      <c r="T1068">
        <v>1</v>
      </c>
      <c r="U1068">
        <v>0</v>
      </c>
      <c r="V1068">
        <v>1</v>
      </c>
    </row>
    <row r="1069" spans="1:26" x14ac:dyDescent="0.25">
      <c r="A1069" t="str">
        <f>"1065"</f>
        <v>1065</v>
      </c>
      <c r="B1069" t="str">
        <f t="shared" si="57"/>
        <v>102</v>
      </c>
      <c r="C1069" t="str">
        <f t="shared" si="59"/>
        <v>43</v>
      </c>
      <c r="D1069" t="str">
        <f>"16"</f>
        <v>16</v>
      </c>
      <c r="E1069" t="str">
        <f>"102-43-16"</f>
        <v>102-43-16</v>
      </c>
      <c r="F1069" t="s">
        <v>27</v>
      </c>
      <c r="G1069" t="s">
        <v>29</v>
      </c>
      <c r="H1069">
        <v>3</v>
      </c>
      <c r="M1069">
        <v>1</v>
      </c>
      <c r="N1069">
        <v>0</v>
      </c>
      <c r="O1069">
        <v>1</v>
      </c>
      <c r="P1069">
        <v>1</v>
      </c>
      <c r="Q1069">
        <v>0</v>
      </c>
      <c r="R1069">
        <v>1</v>
      </c>
      <c r="S1069">
        <v>0</v>
      </c>
      <c r="T1069">
        <v>1</v>
      </c>
      <c r="U1069">
        <v>0</v>
      </c>
      <c r="V1069">
        <v>1</v>
      </c>
      <c r="Y1069">
        <v>1</v>
      </c>
      <c r="Z1069">
        <v>0</v>
      </c>
    </row>
    <row r="1070" spans="1:26" x14ac:dyDescent="0.25">
      <c r="A1070" t="str">
        <f>"1066"</f>
        <v>1066</v>
      </c>
      <c r="B1070" t="str">
        <f t="shared" si="57"/>
        <v>102</v>
      </c>
      <c r="C1070" t="str">
        <f t="shared" si="59"/>
        <v>43</v>
      </c>
      <c r="D1070" t="str">
        <f>"3"</f>
        <v>3</v>
      </c>
      <c r="E1070" t="str">
        <f>"102-43-3"</f>
        <v>102-43-3</v>
      </c>
      <c r="F1070" t="s">
        <v>27</v>
      </c>
      <c r="G1070" t="s">
        <v>28</v>
      </c>
      <c r="H1070">
        <v>1</v>
      </c>
      <c r="Q1070">
        <v>1</v>
      </c>
      <c r="R1070">
        <v>0</v>
      </c>
      <c r="S1070">
        <v>1</v>
      </c>
      <c r="T1070">
        <v>0</v>
      </c>
      <c r="U1070">
        <v>1</v>
      </c>
      <c r="V1070">
        <v>0</v>
      </c>
    </row>
    <row r="1071" spans="1:26" x14ac:dyDescent="0.25">
      <c r="A1071" t="str">
        <f>"1067"</f>
        <v>1067</v>
      </c>
      <c r="B1071" t="str">
        <f t="shared" si="57"/>
        <v>102</v>
      </c>
      <c r="C1071" t="str">
        <f t="shared" si="59"/>
        <v>43</v>
      </c>
      <c r="D1071" t="str">
        <f>"25"</f>
        <v>25</v>
      </c>
      <c r="E1071" t="str">
        <f>"102-43-25"</f>
        <v>102-43-25</v>
      </c>
      <c r="F1071" t="s">
        <v>27</v>
      </c>
      <c r="G1071" t="s">
        <v>28</v>
      </c>
      <c r="H1071">
        <v>1</v>
      </c>
      <c r="Q1071">
        <v>1</v>
      </c>
      <c r="R1071">
        <v>0</v>
      </c>
      <c r="S1071">
        <v>1</v>
      </c>
      <c r="T1071">
        <v>0</v>
      </c>
      <c r="U1071">
        <v>0</v>
      </c>
      <c r="V1071">
        <v>1</v>
      </c>
    </row>
    <row r="1072" spans="1:26" x14ac:dyDescent="0.25">
      <c r="A1072" t="str">
        <f>"1068"</f>
        <v>1068</v>
      </c>
      <c r="B1072" t="str">
        <f t="shared" si="57"/>
        <v>102</v>
      </c>
      <c r="C1072" t="str">
        <f t="shared" si="59"/>
        <v>43</v>
      </c>
      <c r="D1072" t="str">
        <f>"17"</f>
        <v>17</v>
      </c>
      <c r="E1072" t="str">
        <f>"102-43-17"</f>
        <v>102-43-17</v>
      </c>
      <c r="F1072" t="s">
        <v>27</v>
      </c>
      <c r="G1072" t="s">
        <v>28</v>
      </c>
      <c r="H1072">
        <v>1</v>
      </c>
      <c r="Q1072">
        <v>1</v>
      </c>
      <c r="R1072">
        <v>0</v>
      </c>
      <c r="S1072">
        <v>1</v>
      </c>
      <c r="T1072">
        <v>0</v>
      </c>
      <c r="U1072">
        <v>0</v>
      </c>
      <c r="V1072">
        <v>1</v>
      </c>
    </row>
    <row r="1073" spans="1:26" x14ac:dyDescent="0.25">
      <c r="A1073" t="str">
        <f>"1069"</f>
        <v>1069</v>
      </c>
      <c r="B1073" t="str">
        <f t="shared" si="57"/>
        <v>102</v>
      </c>
      <c r="C1073" t="str">
        <f t="shared" si="59"/>
        <v>43</v>
      </c>
      <c r="D1073" t="str">
        <f>"8"</f>
        <v>8</v>
      </c>
      <c r="E1073" t="str">
        <f>"102-43-8"</f>
        <v>102-43-8</v>
      </c>
      <c r="F1073" t="s">
        <v>27</v>
      </c>
      <c r="G1073" t="s">
        <v>28</v>
      </c>
      <c r="H1073">
        <v>1</v>
      </c>
      <c r="Q1073">
        <v>0</v>
      </c>
      <c r="R1073">
        <v>1</v>
      </c>
      <c r="S1073">
        <v>0</v>
      </c>
      <c r="T1073">
        <v>1</v>
      </c>
      <c r="U1073">
        <v>0</v>
      </c>
      <c r="V1073">
        <v>1</v>
      </c>
    </row>
    <row r="1074" spans="1:26" x14ac:dyDescent="0.25">
      <c r="A1074" t="str">
        <f>"1070"</f>
        <v>1070</v>
      </c>
      <c r="B1074" t="str">
        <f t="shared" si="57"/>
        <v>102</v>
      </c>
      <c r="C1074" t="str">
        <f t="shared" si="59"/>
        <v>43</v>
      </c>
      <c r="D1074" t="str">
        <f>"18"</f>
        <v>18</v>
      </c>
      <c r="E1074" t="str">
        <f>"102-43-18"</f>
        <v>102-43-18</v>
      </c>
      <c r="F1074" t="s">
        <v>27</v>
      </c>
      <c r="G1074" t="s">
        <v>28</v>
      </c>
      <c r="H1074">
        <v>1</v>
      </c>
      <c r="Q1074">
        <v>1</v>
      </c>
      <c r="R1074">
        <v>0</v>
      </c>
      <c r="S1074">
        <v>1</v>
      </c>
      <c r="T1074">
        <v>0</v>
      </c>
      <c r="U1074">
        <v>1</v>
      </c>
      <c r="V1074">
        <v>0</v>
      </c>
    </row>
    <row r="1075" spans="1:26" x14ac:dyDescent="0.25">
      <c r="A1075" t="str">
        <f>"1071"</f>
        <v>1071</v>
      </c>
      <c r="B1075" t="str">
        <f t="shared" si="57"/>
        <v>102</v>
      </c>
      <c r="C1075" t="str">
        <f t="shared" si="59"/>
        <v>43</v>
      </c>
      <c r="D1075" t="str">
        <f>"10"</f>
        <v>10</v>
      </c>
      <c r="E1075" t="str">
        <f>"102-43-10"</f>
        <v>102-43-10</v>
      </c>
      <c r="F1075" t="s">
        <v>27</v>
      </c>
      <c r="G1075" t="s">
        <v>28</v>
      </c>
      <c r="H1075">
        <v>1</v>
      </c>
      <c r="Q1075">
        <v>0</v>
      </c>
      <c r="R1075">
        <v>1</v>
      </c>
      <c r="S1075">
        <v>0</v>
      </c>
      <c r="T1075">
        <v>1</v>
      </c>
      <c r="U1075">
        <v>0</v>
      </c>
      <c r="V1075">
        <v>1</v>
      </c>
    </row>
    <row r="1076" spans="1:26" x14ac:dyDescent="0.25">
      <c r="A1076" t="str">
        <f>"1072"</f>
        <v>1072</v>
      </c>
      <c r="B1076" t="str">
        <f t="shared" si="57"/>
        <v>102</v>
      </c>
      <c r="C1076" t="str">
        <f t="shared" si="59"/>
        <v>43</v>
      </c>
      <c r="D1076" t="str">
        <f>"19"</f>
        <v>19</v>
      </c>
      <c r="E1076" t="str">
        <f>"102-43-19"</f>
        <v>102-43-19</v>
      </c>
      <c r="F1076" t="s">
        <v>27</v>
      </c>
      <c r="G1076" t="s">
        <v>28</v>
      </c>
      <c r="H1076">
        <v>1</v>
      </c>
      <c r="Q1076">
        <v>0</v>
      </c>
      <c r="R1076">
        <v>1</v>
      </c>
      <c r="S1076">
        <v>0</v>
      </c>
      <c r="T1076">
        <v>1</v>
      </c>
      <c r="U1076">
        <v>1</v>
      </c>
      <c r="V1076">
        <v>0</v>
      </c>
    </row>
    <row r="1077" spans="1:26" x14ac:dyDescent="0.25">
      <c r="A1077" t="str">
        <f>"1073"</f>
        <v>1073</v>
      </c>
      <c r="B1077" t="str">
        <f t="shared" si="57"/>
        <v>102</v>
      </c>
      <c r="C1077" t="str">
        <f t="shared" si="59"/>
        <v>43</v>
      </c>
      <c r="D1077" t="str">
        <f>"9"</f>
        <v>9</v>
      </c>
      <c r="E1077" t="str">
        <f>"102-43-9"</f>
        <v>102-43-9</v>
      </c>
      <c r="F1077" t="s">
        <v>27</v>
      </c>
      <c r="G1077" t="s">
        <v>28</v>
      </c>
      <c r="H1077">
        <v>1</v>
      </c>
      <c r="Q1077">
        <v>0</v>
      </c>
      <c r="R1077">
        <v>1</v>
      </c>
      <c r="S1077">
        <v>0</v>
      </c>
      <c r="T1077">
        <v>1</v>
      </c>
      <c r="U1077">
        <v>1</v>
      </c>
      <c r="V1077">
        <v>0</v>
      </c>
    </row>
    <row r="1078" spans="1:26" x14ac:dyDescent="0.25">
      <c r="A1078" t="str">
        <f>"1074"</f>
        <v>1074</v>
      </c>
      <c r="B1078" t="str">
        <f t="shared" si="57"/>
        <v>102</v>
      </c>
      <c r="C1078" t="str">
        <f t="shared" si="59"/>
        <v>43</v>
      </c>
      <c r="D1078" t="str">
        <f>"20"</f>
        <v>20</v>
      </c>
      <c r="E1078" t="str">
        <f>"102-43-20"</f>
        <v>102-43-20</v>
      </c>
      <c r="F1078" t="s">
        <v>27</v>
      </c>
      <c r="G1078" t="s">
        <v>29</v>
      </c>
      <c r="H1078">
        <v>3</v>
      </c>
      <c r="M1078">
        <v>1</v>
      </c>
      <c r="N1078">
        <v>0</v>
      </c>
      <c r="O1078">
        <v>1</v>
      </c>
      <c r="P1078">
        <v>1</v>
      </c>
      <c r="Q1078">
        <v>0</v>
      </c>
      <c r="R1078">
        <v>1</v>
      </c>
      <c r="S1078">
        <v>0</v>
      </c>
      <c r="T1078">
        <v>1</v>
      </c>
      <c r="U1078">
        <v>0</v>
      </c>
      <c r="V1078">
        <v>1</v>
      </c>
      <c r="Y1078">
        <v>1</v>
      </c>
      <c r="Z1078">
        <v>0</v>
      </c>
    </row>
    <row r="1079" spans="1:26" x14ac:dyDescent="0.25">
      <c r="A1079" t="str">
        <f>"1075"</f>
        <v>1075</v>
      </c>
      <c r="B1079" t="str">
        <f t="shared" si="57"/>
        <v>102</v>
      </c>
      <c r="C1079" t="str">
        <f t="shared" si="59"/>
        <v>43</v>
      </c>
      <c r="D1079" t="str">
        <f>"7"</f>
        <v>7</v>
      </c>
      <c r="E1079" t="str">
        <f>"102-43-7"</f>
        <v>102-43-7</v>
      </c>
      <c r="F1079" t="s">
        <v>27</v>
      </c>
      <c r="G1079" t="s">
        <v>30</v>
      </c>
      <c r="H1079">
        <v>2</v>
      </c>
      <c r="I1079">
        <v>1</v>
      </c>
      <c r="J1079">
        <v>1</v>
      </c>
      <c r="K1079">
        <v>0</v>
      </c>
      <c r="L1079">
        <v>1</v>
      </c>
      <c r="Q1079">
        <v>0</v>
      </c>
      <c r="R1079">
        <v>1</v>
      </c>
      <c r="S1079">
        <v>0</v>
      </c>
      <c r="T1079">
        <v>1</v>
      </c>
      <c r="U1079">
        <v>0</v>
      </c>
      <c r="V1079">
        <v>1</v>
      </c>
      <c r="W1079">
        <v>0</v>
      </c>
      <c r="X1079">
        <v>1</v>
      </c>
    </row>
    <row r="1080" spans="1:26" x14ac:dyDescent="0.25">
      <c r="A1080" t="str">
        <f>"1076"</f>
        <v>1076</v>
      </c>
      <c r="B1080" t="str">
        <f t="shared" si="57"/>
        <v>102</v>
      </c>
      <c r="C1080" t="str">
        <f t="shared" ref="C1080:C1104" si="60">"44"</f>
        <v>44</v>
      </c>
      <c r="D1080" t="str">
        <f>"21"</f>
        <v>21</v>
      </c>
      <c r="E1080" t="str">
        <f>"102-44-21"</f>
        <v>102-44-21</v>
      </c>
      <c r="F1080" t="s">
        <v>27</v>
      </c>
      <c r="G1080" t="s">
        <v>28</v>
      </c>
      <c r="H1080">
        <v>1</v>
      </c>
      <c r="Q1080">
        <v>0</v>
      </c>
      <c r="R1080">
        <v>1</v>
      </c>
      <c r="S1080">
        <v>0</v>
      </c>
      <c r="T1080">
        <v>1</v>
      </c>
      <c r="U1080">
        <v>0</v>
      </c>
      <c r="V1080">
        <v>1</v>
      </c>
    </row>
    <row r="1081" spans="1:26" x14ac:dyDescent="0.25">
      <c r="A1081" t="str">
        <f>"1077"</f>
        <v>1077</v>
      </c>
      <c r="B1081" t="str">
        <f t="shared" si="57"/>
        <v>102</v>
      </c>
      <c r="C1081" t="str">
        <f t="shared" si="60"/>
        <v>44</v>
      </c>
      <c r="D1081" t="str">
        <f>"11"</f>
        <v>11</v>
      </c>
      <c r="E1081" t="str">
        <f>"102-44-11"</f>
        <v>102-44-11</v>
      </c>
      <c r="F1081" t="s">
        <v>27</v>
      </c>
      <c r="G1081" t="s">
        <v>28</v>
      </c>
      <c r="H1081">
        <v>1</v>
      </c>
      <c r="Q1081">
        <v>1</v>
      </c>
      <c r="R1081">
        <v>0</v>
      </c>
      <c r="S1081">
        <v>0</v>
      </c>
      <c r="T1081">
        <v>1</v>
      </c>
      <c r="U1081">
        <v>1</v>
      </c>
      <c r="V1081">
        <v>0</v>
      </c>
    </row>
    <row r="1082" spans="1:26" x14ac:dyDescent="0.25">
      <c r="A1082" t="str">
        <f>"1078"</f>
        <v>1078</v>
      </c>
      <c r="B1082" t="str">
        <f t="shared" si="57"/>
        <v>102</v>
      </c>
      <c r="C1082" t="str">
        <f t="shared" si="60"/>
        <v>44</v>
      </c>
      <c r="D1082" t="str">
        <f>"1"</f>
        <v>1</v>
      </c>
      <c r="E1082" t="str">
        <f>"102-44-1"</f>
        <v>102-44-1</v>
      </c>
      <c r="F1082" t="s">
        <v>27</v>
      </c>
      <c r="G1082" t="s">
        <v>28</v>
      </c>
      <c r="H1082">
        <v>1</v>
      </c>
      <c r="Q1082">
        <v>1</v>
      </c>
      <c r="R1082">
        <v>0</v>
      </c>
      <c r="S1082">
        <v>0</v>
      </c>
      <c r="T1082">
        <v>1</v>
      </c>
      <c r="U1082">
        <v>1</v>
      </c>
      <c r="V1082">
        <v>0</v>
      </c>
    </row>
    <row r="1083" spans="1:26" x14ac:dyDescent="0.25">
      <c r="A1083" t="str">
        <f>"1079"</f>
        <v>1079</v>
      </c>
      <c r="B1083" t="str">
        <f t="shared" si="57"/>
        <v>102</v>
      </c>
      <c r="C1083" t="str">
        <f t="shared" si="60"/>
        <v>44</v>
      </c>
      <c r="D1083" t="str">
        <f>"25"</f>
        <v>25</v>
      </c>
      <c r="E1083" t="str">
        <f>"102-44-25"</f>
        <v>102-44-25</v>
      </c>
      <c r="F1083" t="s">
        <v>27</v>
      </c>
      <c r="G1083" t="s">
        <v>28</v>
      </c>
      <c r="H1083">
        <v>1</v>
      </c>
      <c r="Q1083">
        <v>0</v>
      </c>
      <c r="R1083">
        <v>1</v>
      </c>
      <c r="S1083">
        <v>0</v>
      </c>
      <c r="T1083">
        <v>0</v>
      </c>
      <c r="U1083">
        <v>0</v>
      </c>
      <c r="V1083">
        <v>0</v>
      </c>
    </row>
    <row r="1084" spans="1:26" x14ac:dyDescent="0.25">
      <c r="A1084" t="str">
        <f>"1080"</f>
        <v>1080</v>
      </c>
      <c r="B1084" t="str">
        <f t="shared" si="57"/>
        <v>102</v>
      </c>
      <c r="C1084" t="str">
        <f t="shared" si="60"/>
        <v>44</v>
      </c>
      <c r="D1084" t="str">
        <f>"12"</f>
        <v>12</v>
      </c>
      <c r="E1084" t="str">
        <f>"102-44-12"</f>
        <v>102-44-12</v>
      </c>
      <c r="F1084" t="s">
        <v>27</v>
      </c>
      <c r="G1084" t="s">
        <v>28</v>
      </c>
      <c r="H1084">
        <v>1</v>
      </c>
      <c r="Q1084">
        <v>0</v>
      </c>
      <c r="R1084">
        <v>1</v>
      </c>
      <c r="S1084">
        <v>0</v>
      </c>
      <c r="T1084">
        <v>1</v>
      </c>
      <c r="U1084">
        <v>0</v>
      </c>
      <c r="V1084">
        <v>1</v>
      </c>
    </row>
    <row r="1085" spans="1:26" x14ac:dyDescent="0.25">
      <c r="A1085" t="str">
        <f>"1081"</f>
        <v>1081</v>
      </c>
      <c r="B1085" t="str">
        <f t="shared" si="57"/>
        <v>102</v>
      </c>
      <c r="C1085" t="str">
        <f t="shared" si="60"/>
        <v>44</v>
      </c>
      <c r="D1085" t="str">
        <f>"3"</f>
        <v>3</v>
      </c>
      <c r="E1085" t="str">
        <f>"102-44-3"</f>
        <v>102-44-3</v>
      </c>
      <c r="F1085" t="s">
        <v>27</v>
      </c>
      <c r="G1085" t="s">
        <v>28</v>
      </c>
      <c r="H1085">
        <v>1</v>
      </c>
      <c r="Q1085">
        <v>0</v>
      </c>
      <c r="R1085">
        <v>1</v>
      </c>
      <c r="S1085">
        <v>0</v>
      </c>
      <c r="T1085">
        <v>1</v>
      </c>
      <c r="U1085">
        <v>1</v>
      </c>
      <c r="V1085">
        <v>0</v>
      </c>
    </row>
    <row r="1086" spans="1:26" x14ac:dyDescent="0.25">
      <c r="A1086" t="str">
        <f>"1082"</f>
        <v>1082</v>
      </c>
      <c r="B1086" t="str">
        <f t="shared" si="57"/>
        <v>102</v>
      </c>
      <c r="C1086" t="str">
        <f t="shared" si="60"/>
        <v>44</v>
      </c>
      <c r="D1086" t="str">
        <f>"24"</f>
        <v>24</v>
      </c>
      <c r="E1086" t="str">
        <f>"102-44-24"</f>
        <v>102-44-24</v>
      </c>
      <c r="F1086" t="s">
        <v>27</v>
      </c>
      <c r="G1086" t="s">
        <v>28</v>
      </c>
      <c r="H1086">
        <v>1</v>
      </c>
      <c r="Q1086">
        <v>1</v>
      </c>
      <c r="R1086">
        <v>0</v>
      </c>
      <c r="S1086">
        <v>1</v>
      </c>
      <c r="T1086">
        <v>0</v>
      </c>
      <c r="U1086">
        <v>1</v>
      </c>
      <c r="V1086">
        <v>0</v>
      </c>
    </row>
    <row r="1087" spans="1:26" x14ac:dyDescent="0.25">
      <c r="A1087" t="str">
        <f>"1083"</f>
        <v>1083</v>
      </c>
      <c r="B1087" t="str">
        <f t="shared" si="57"/>
        <v>102</v>
      </c>
      <c r="C1087" t="str">
        <f t="shared" si="60"/>
        <v>44</v>
      </c>
      <c r="D1087" t="str">
        <f>"13"</f>
        <v>13</v>
      </c>
      <c r="E1087" t="str">
        <f>"102-44-13"</f>
        <v>102-44-13</v>
      </c>
      <c r="F1087" t="s">
        <v>27</v>
      </c>
      <c r="G1087" t="s">
        <v>28</v>
      </c>
      <c r="H1087">
        <v>1</v>
      </c>
      <c r="Q1087">
        <v>0</v>
      </c>
      <c r="R1087">
        <v>1</v>
      </c>
      <c r="S1087">
        <v>0</v>
      </c>
      <c r="T1087">
        <v>1</v>
      </c>
      <c r="U1087">
        <v>0</v>
      </c>
      <c r="V1087">
        <v>1</v>
      </c>
    </row>
    <row r="1088" spans="1:26" x14ac:dyDescent="0.25">
      <c r="A1088" t="str">
        <f>"1084"</f>
        <v>1084</v>
      </c>
      <c r="B1088" t="str">
        <f t="shared" si="57"/>
        <v>102</v>
      </c>
      <c r="C1088" t="str">
        <f t="shared" si="60"/>
        <v>44</v>
      </c>
      <c r="D1088" t="str">
        <f>"2"</f>
        <v>2</v>
      </c>
      <c r="E1088" t="str">
        <f>"102-44-2"</f>
        <v>102-44-2</v>
      </c>
      <c r="F1088" t="s">
        <v>27</v>
      </c>
      <c r="G1088" t="s">
        <v>28</v>
      </c>
      <c r="H1088">
        <v>1</v>
      </c>
      <c r="Q1088">
        <v>0</v>
      </c>
      <c r="R1088">
        <v>1</v>
      </c>
      <c r="S1088">
        <v>0</v>
      </c>
      <c r="T1088">
        <v>1</v>
      </c>
      <c r="U1088">
        <v>1</v>
      </c>
      <c r="V1088">
        <v>0</v>
      </c>
    </row>
    <row r="1089" spans="1:22" x14ac:dyDescent="0.25">
      <c r="A1089" t="str">
        <f>"1085"</f>
        <v>1085</v>
      </c>
      <c r="B1089" t="str">
        <f t="shared" si="57"/>
        <v>102</v>
      </c>
      <c r="C1089" t="str">
        <f t="shared" si="60"/>
        <v>44</v>
      </c>
      <c r="D1089" t="str">
        <f>"14"</f>
        <v>14</v>
      </c>
      <c r="E1089" t="str">
        <f>"102-44-14"</f>
        <v>102-44-14</v>
      </c>
      <c r="F1089" t="s">
        <v>27</v>
      </c>
      <c r="G1089" t="s">
        <v>28</v>
      </c>
      <c r="H1089">
        <v>1</v>
      </c>
      <c r="Q1089">
        <v>0</v>
      </c>
      <c r="R1089">
        <v>1</v>
      </c>
      <c r="S1089">
        <v>1</v>
      </c>
      <c r="T1089">
        <v>0</v>
      </c>
      <c r="U1089">
        <v>1</v>
      </c>
      <c r="V1089">
        <v>0</v>
      </c>
    </row>
    <row r="1090" spans="1:22" x14ac:dyDescent="0.25">
      <c r="A1090" t="str">
        <f>"1086"</f>
        <v>1086</v>
      </c>
      <c r="B1090" t="str">
        <f t="shared" si="57"/>
        <v>102</v>
      </c>
      <c r="C1090" t="str">
        <f t="shared" si="60"/>
        <v>44</v>
      </c>
      <c r="D1090" t="str">
        <f>"5"</f>
        <v>5</v>
      </c>
      <c r="E1090" t="str">
        <f>"102-44-5"</f>
        <v>102-44-5</v>
      </c>
      <c r="F1090" t="s">
        <v>27</v>
      </c>
      <c r="G1090" t="s">
        <v>28</v>
      </c>
      <c r="H1090">
        <v>1</v>
      </c>
      <c r="Q1090">
        <v>0</v>
      </c>
      <c r="R1090">
        <v>1</v>
      </c>
      <c r="S1090">
        <v>0</v>
      </c>
      <c r="T1090">
        <v>1</v>
      </c>
      <c r="U1090">
        <v>0</v>
      </c>
      <c r="V1090">
        <v>1</v>
      </c>
    </row>
    <row r="1091" spans="1:22" x14ac:dyDescent="0.25">
      <c r="A1091" t="str">
        <f>"1087"</f>
        <v>1087</v>
      </c>
      <c r="B1091" t="str">
        <f t="shared" si="57"/>
        <v>102</v>
      </c>
      <c r="C1091" t="str">
        <f t="shared" si="60"/>
        <v>44</v>
      </c>
      <c r="D1091" t="str">
        <f>"15"</f>
        <v>15</v>
      </c>
      <c r="E1091" t="str">
        <f>"102-44-15"</f>
        <v>102-44-15</v>
      </c>
      <c r="F1091" t="s">
        <v>27</v>
      </c>
      <c r="G1091" t="s">
        <v>28</v>
      </c>
      <c r="H1091">
        <v>1</v>
      </c>
      <c r="Q1091">
        <v>0</v>
      </c>
      <c r="R1091">
        <v>1</v>
      </c>
      <c r="S1091">
        <v>0</v>
      </c>
      <c r="T1091">
        <v>1</v>
      </c>
      <c r="U1091">
        <v>0</v>
      </c>
      <c r="V1091">
        <v>1</v>
      </c>
    </row>
    <row r="1092" spans="1:22" x14ac:dyDescent="0.25">
      <c r="A1092" t="str">
        <f>"1088"</f>
        <v>1088</v>
      </c>
      <c r="B1092" t="str">
        <f t="shared" si="57"/>
        <v>102</v>
      </c>
      <c r="C1092" t="str">
        <f t="shared" si="60"/>
        <v>44</v>
      </c>
      <c r="D1092" t="str">
        <f>"4"</f>
        <v>4</v>
      </c>
      <c r="E1092" t="str">
        <f>"102-44-4"</f>
        <v>102-44-4</v>
      </c>
      <c r="F1092" t="s">
        <v>27</v>
      </c>
      <c r="G1092" t="s">
        <v>28</v>
      </c>
      <c r="H1092">
        <v>1</v>
      </c>
      <c r="Q1092">
        <v>0</v>
      </c>
      <c r="R1092">
        <v>1</v>
      </c>
      <c r="S1092">
        <v>0</v>
      </c>
      <c r="T1092">
        <v>1</v>
      </c>
      <c r="U1092">
        <v>0</v>
      </c>
      <c r="V1092">
        <v>1</v>
      </c>
    </row>
    <row r="1093" spans="1:22" x14ac:dyDescent="0.25">
      <c r="A1093" t="str">
        <f>"1089"</f>
        <v>1089</v>
      </c>
      <c r="B1093" t="str">
        <f t="shared" ref="B1093:B1156" si="61">"102"</f>
        <v>102</v>
      </c>
      <c r="C1093" t="str">
        <f t="shared" si="60"/>
        <v>44</v>
      </c>
      <c r="D1093" t="str">
        <f>"22"</f>
        <v>22</v>
      </c>
      <c r="E1093" t="str">
        <f>"102-44-22"</f>
        <v>102-44-22</v>
      </c>
      <c r="F1093" t="s">
        <v>27</v>
      </c>
      <c r="G1093" t="s">
        <v>28</v>
      </c>
      <c r="H1093">
        <v>1</v>
      </c>
      <c r="Q1093">
        <v>0</v>
      </c>
      <c r="R1093">
        <v>1</v>
      </c>
      <c r="S1093">
        <v>0</v>
      </c>
      <c r="T1093">
        <v>1</v>
      </c>
      <c r="U1093">
        <v>0</v>
      </c>
      <c r="V1093">
        <v>1</v>
      </c>
    </row>
    <row r="1094" spans="1:22" x14ac:dyDescent="0.25">
      <c r="A1094" t="str">
        <f>"1090"</f>
        <v>1090</v>
      </c>
      <c r="B1094" t="str">
        <f t="shared" si="61"/>
        <v>102</v>
      </c>
      <c r="C1094" t="str">
        <f t="shared" si="60"/>
        <v>44</v>
      </c>
      <c r="D1094" t="str">
        <f>"16"</f>
        <v>16</v>
      </c>
      <c r="E1094" t="str">
        <f>"102-44-16"</f>
        <v>102-44-16</v>
      </c>
      <c r="F1094" t="s">
        <v>27</v>
      </c>
      <c r="G1094" t="s">
        <v>28</v>
      </c>
      <c r="H1094">
        <v>1</v>
      </c>
      <c r="Q1094">
        <v>0</v>
      </c>
      <c r="R1094">
        <v>1</v>
      </c>
      <c r="S1094">
        <v>0</v>
      </c>
      <c r="T1094">
        <v>1</v>
      </c>
      <c r="U1094">
        <v>1</v>
      </c>
      <c r="V1094">
        <v>0</v>
      </c>
    </row>
    <row r="1095" spans="1:22" x14ac:dyDescent="0.25">
      <c r="A1095" t="str">
        <f>"1091"</f>
        <v>1091</v>
      </c>
      <c r="B1095" t="str">
        <f t="shared" si="61"/>
        <v>102</v>
      </c>
      <c r="C1095" t="str">
        <f t="shared" si="60"/>
        <v>44</v>
      </c>
      <c r="D1095" t="str">
        <f>"8"</f>
        <v>8</v>
      </c>
      <c r="E1095" t="str">
        <f>"102-44-8"</f>
        <v>102-44-8</v>
      </c>
      <c r="F1095" t="s">
        <v>27</v>
      </c>
      <c r="G1095" t="s">
        <v>28</v>
      </c>
      <c r="H1095">
        <v>1</v>
      </c>
      <c r="Q1095">
        <v>1</v>
      </c>
      <c r="R1095">
        <v>0</v>
      </c>
      <c r="S1095">
        <v>1</v>
      </c>
      <c r="T1095">
        <v>0</v>
      </c>
      <c r="U1095">
        <v>1</v>
      </c>
      <c r="V1095">
        <v>0</v>
      </c>
    </row>
    <row r="1096" spans="1:22" x14ac:dyDescent="0.25">
      <c r="A1096" t="str">
        <f>"1092"</f>
        <v>1092</v>
      </c>
      <c r="B1096" t="str">
        <f t="shared" si="61"/>
        <v>102</v>
      </c>
      <c r="C1096" t="str">
        <f t="shared" si="60"/>
        <v>44</v>
      </c>
      <c r="D1096" t="str">
        <f>"17"</f>
        <v>17</v>
      </c>
      <c r="E1096" t="str">
        <f>"102-44-17"</f>
        <v>102-44-17</v>
      </c>
      <c r="F1096" t="s">
        <v>27</v>
      </c>
      <c r="G1096" t="s">
        <v>28</v>
      </c>
      <c r="H1096">
        <v>1</v>
      </c>
      <c r="Q1096">
        <v>0</v>
      </c>
      <c r="R1096">
        <v>1</v>
      </c>
      <c r="S1096">
        <v>0</v>
      </c>
      <c r="T1096">
        <v>1</v>
      </c>
      <c r="U1096">
        <v>0</v>
      </c>
      <c r="V1096">
        <v>1</v>
      </c>
    </row>
    <row r="1097" spans="1:22" x14ac:dyDescent="0.25">
      <c r="A1097" t="str">
        <f>"1093"</f>
        <v>1093</v>
      </c>
      <c r="B1097" t="str">
        <f t="shared" si="61"/>
        <v>102</v>
      </c>
      <c r="C1097" t="str">
        <f t="shared" si="60"/>
        <v>44</v>
      </c>
      <c r="D1097" t="str">
        <f>"7"</f>
        <v>7</v>
      </c>
      <c r="E1097" t="str">
        <f>"102-44-7"</f>
        <v>102-44-7</v>
      </c>
      <c r="F1097" t="s">
        <v>27</v>
      </c>
      <c r="G1097" t="s">
        <v>28</v>
      </c>
      <c r="H1097">
        <v>1</v>
      </c>
      <c r="Q1097">
        <v>0</v>
      </c>
      <c r="R1097">
        <v>1</v>
      </c>
      <c r="S1097">
        <v>0</v>
      </c>
      <c r="T1097">
        <v>1</v>
      </c>
      <c r="U1097">
        <v>0</v>
      </c>
      <c r="V1097">
        <v>1</v>
      </c>
    </row>
    <row r="1098" spans="1:22" x14ac:dyDescent="0.25">
      <c r="A1098" t="str">
        <f>"1094"</f>
        <v>1094</v>
      </c>
      <c r="B1098" t="str">
        <f t="shared" si="61"/>
        <v>102</v>
      </c>
      <c r="C1098" t="str">
        <f t="shared" si="60"/>
        <v>44</v>
      </c>
      <c r="D1098" t="str">
        <f>"23"</f>
        <v>23</v>
      </c>
      <c r="E1098" t="str">
        <f>"102-44-23"</f>
        <v>102-44-23</v>
      </c>
      <c r="F1098" t="s">
        <v>27</v>
      </c>
      <c r="G1098" t="s">
        <v>28</v>
      </c>
      <c r="H1098">
        <v>1</v>
      </c>
      <c r="Q1098">
        <v>1</v>
      </c>
      <c r="R1098">
        <v>0</v>
      </c>
      <c r="S1098">
        <v>1</v>
      </c>
      <c r="T1098">
        <v>0</v>
      </c>
      <c r="U1098">
        <v>0</v>
      </c>
      <c r="V1098">
        <v>1</v>
      </c>
    </row>
    <row r="1099" spans="1:22" x14ac:dyDescent="0.25">
      <c r="A1099" t="str">
        <f>"1095"</f>
        <v>1095</v>
      </c>
      <c r="B1099" t="str">
        <f t="shared" si="61"/>
        <v>102</v>
      </c>
      <c r="C1099" t="str">
        <f t="shared" si="60"/>
        <v>44</v>
      </c>
      <c r="D1099" t="str">
        <f>"18"</f>
        <v>18</v>
      </c>
      <c r="E1099" t="str">
        <f>"102-44-18"</f>
        <v>102-44-18</v>
      </c>
      <c r="F1099" t="s">
        <v>27</v>
      </c>
      <c r="G1099" t="s">
        <v>28</v>
      </c>
      <c r="H1099">
        <v>1</v>
      </c>
      <c r="Q1099">
        <v>1</v>
      </c>
      <c r="R1099">
        <v>0</v>
      </c>
      <c r="S1099">
        <v>0</v>
      </c>
      <c r="T1099">
        <v>1</v>
      </c>
      <c r="U1099">
        <v>0</v>
      </c>
      <c r="V1099">
        <v>1</v>
      </c>
    </row>
    <row r="1100" spans="1:22" x14ac:dyDescent="0.25">
      <c r="A1100" t="str">
        <f>"1096"</f>
        <v>1096</v>
      </c>
      <c r="B1100" t="str">
        <f t="shared" si="61"/>
        <v>102</v>
      </c>
      <c r="C1100" t="str">
        <f t="shared" si="60"/>
        <v>44</v>
      </c>
      <c r="D1100" t="str">
        <f>"9"</f>
        <v>9</v>
      </c>
      <c r="E1100" t="str">
        <f>"102-44-9"</f>
        <v>102-44-9</v>
      </c>
      <c r="F1100" t="s">
        <v>27</v>
      </c>
      <c r="G1100" t="s">
        <v>28</v>
      </c>
      <c r="H1100">
        <v>1</v>
      </c>
      <c r="Q1100">
        <v>1</v>
      </c>
      <c r="R1100">
        <v>0</v>
      </c>
      <c r="S1100">
        <v>1</v>
      </c>
      <c r="T1100">
        <v>0</v>
      </c>
      <c r="U1100">
        <v>1</v>
      </c>
      <c r="V1100">
        <v>0</v>
      </c>
    </row>
    <row r="1101" spans="1:22" x14ac:dyDescent="0.25">
      <c r="A1101" t="str">
        <f>"1097"</f>
        <v>1097</v>
      </c>
      <c r="B1101" t="str">
        <f t="shared" si="61"/>
        <v>102</v>
      </c>
      <c r="C1101" t="str">
        <f t="shared" si="60"/>
        <v>44</v>
      </c>
      <c r="D1101" t="str">
        <f>"19"</f>
        <v>19</v>
      </c>
      <c r="E1101" t="str">
        <f>"102-44-19"</f>
        <v>102-44-19</v>
      </c>
      <c r="F1101" t="s">
        <v>27</v>
      </c>
      <c r="G1101" t="s">
        <v>28</v>
      </c>
      <c r="H1101">
        <v>1</v>
      </c>
      <c r="Q1101">
        <v>0</v>
      </c>
      <c r="R1101">
        <v>1</v>
      </c>
      <c r="S1101">
        <v>0</v>
      </c>
      <c r="T1101">
        <v>1</v>
      </c>
      <c r="U1101">
        <v>0</v>
      </c>
      <c r="V1101">
        <v>1</v>
      </c>
    </row>
    <row r="1102" spans="1:22" x14ac:dyDescent="0.25">
      <c r="A1102" t="str">
        <f>"1098"</f>
        <v>1098</v>
      </c>
      <c r="B1102" t="str">
        <f t="shared" si="61"/>
        <v>102</v>
      </c>
      <c r="C1102" t="str">
        <f t="shared" si="60"/>
        <v>44</v>
      </c>
      <c r="D1102" t="str">
        <f>"10"</f>
        <v>10</v>
      </c>
      <c r="E1102" t="str">
        <f>"102-44-10"</f>
        <v>102-44-10</v>
      </c>
      <c r="F1102" t="s">
        <v>27</v>
      </c>
      <c r="G1102" t="s">
        <v>28</v>
      </c>
      <c r="H1102">
        <v>1</v>
      </c>
      <c r="Q1102">
        <v>1</v>
      </c>
      <c r="R1102">
        <v>0</v>
      </c>
      <c r="S1102">
        <v>1</v>
      </c>
      <c r="T1102">
        <v>0</v>
      </c>
      <c r="U1102">
        <v>1</v>
      </c>
      <c r="V1102">
        <v>0</v>
      </c>
    </row>
    <row r="1103" spans="1:22" x14ac:dyDescent="0.25">
      <c r="A1103" t="str">
        <f>"1099"</f>
        <v>1099</v>
      </c>
      <c r="B1103" t="str">
        <f t="shared" si="61"/>
        <v>102</v>
      </c>
      <c r="C1103" t="str">
        <f t="shared" si="60"/>
        <v>44</v>
      </c>
      <c r="D1103" t="str">
        <f>"20"</f>
        <v>20</v>
      </c>
      <c r="E1103" t="str">
        <f>"102-44-20"</f>
        <v>102-44-20</v>
      </c>
      <c r="F1103" t="s">
        <v>27</v>
      </c>
      <c r="G1103" t="s">
        <v>28</v>
      </c>
      <c r="H1103">
        <v>1</v>
      </c>
      <c r="Q1103">
        <v>1</v>
      </c>
      <c r="R1103">
        <v>0</v>
      </c>
      <c r="S1103">
        <v>0</v>
      </c>
      <c r="T1103">
        <v>1</v>
      </c>
      <c r="U1103">
        <v>1</v>
      </c>
      <c r="V1103">
        <v>0</v>
      </c>
    </row>
    <row r="1104" spans="1:22" x14ac:dyDescent="0.25">
      <c r="A1104" t="str">
        <f>"1100"</f>
        <v>1100</v>
      </c>
      <c r="B1104" t="str">
        <f t="shared" si="61"/>
        <v>102</v>
      </c>
      <c r="C1104" t="str">
        <f t="shared" si="60"/>
        <v>44</v>
      </c>
      <c r="D1104" t="str">
        <f>"6"</f>
        <v>6</v>
      </c>
      <c r="E1104" t="str">
        <f>"102-44-6"</f>
        <v>102-44-6</v>
      </c>
      <c r="F1104" t="s">
        <v>27</v>
      </c>
      <c r="G1104" t="s">
        <v>28</v>
      </c>
      <c r="H1104">
        <v>1</v>
      </c>
      <c r="Q1104">
        <v>1</v>
      </c>
      <c r="R1104">
        <v>0</v>
      </c>
      <c r="S1104">
        <v>1</v>
      </c>
      <c r="T1104">
        <v>0</v>
      </c>
      <c r="U1104">
        <v>1</v>
      </c>
      <c r="V1104">
        <v>0</v>
      </c>
    </row>
    <row r="1105" spans="1:26" x14ac:dyDescent="0.25">
      <c r="A1105" t="str">
        <f>"1101"</f>
        <v>1101</v>
      </c>
      <c r="B1105" t="str">
        <f t="shared" si="61"/>
        <v>102</v>
      </c>
      <c r="C1105" t="str">
        <f t="shared" ref="C1105:C1129" si="62">"45"</f>
        <v>45</v>
      </c>
      <c r="D1105" t="str">
        <f>"22"</f>
        <v>22</v>
      </c>
      <c r="E1105" t="str">
        <f>"102-45-22"</f>
        <v>102-45-22</v>
      </c>
      <c r="F1105" t="s">
        <v>27</v>
      </c>
      <c r="G1105" t="s">
        <v>28</v>
      </c>
      <c r="H1105">
        <v>1</v>
      </c>
      <c r="Q1105">
        <v>0</v>
      </c>
      <c r="R1105">
        <v>1</v>
      </c>
      <c r="S1105">
        <v>0</v>
      </c>
      <c r="T1105">
        <v>1</v>
      </c>
      <c r="U1105">
        <v>0</v>
      </c>
      <c r="V1105">
        <v>1</v>
      </c>
    </row>
    <row r="1106" spans="1:26" x14ac:dyDescent="0.25">
      <c r="A1106" t="str">
        <f>"1102"</f>
        <v>1102</v>
      </c>
      <c r="B1106" t="str">
        <f t="shared" si="61"/>
        <v>102</v>
      </c>
      <c r="C1106" t="str">
        <f t="shared" si="62"/>
        <v>45</v>
      </c>
      <c r="D1106" t="str">
        <f>"11"</f>
        <v>11</v>
      </c>
      <c r="E1106" t="str">
        <f>"102-45-11"</f>
        <v>102-45-11</v>
      </c>
      <c r="F1106" t="s">
        <v>27</v>
      </c>
      <c r="G1106" t="s">
        <v>28</v>
      </c>
      <c r="H1106">
        <v>1</v>
      </c>
      <c r="Q1106">
        <v>0</v>
      </c>
      <c r="R1106">
        <v>1</v>
      </c>
      <c r="S1106">
        <v>0</v>
      </c>
      <c r="T1106">
        <v>1</v>
      </c>
      <c r="U1106">
        <v>0</v>
      </c>
      <c r="V1106">
        <v>1</v>
      </c>
    </row>
    <row r="1107" spans="1:26" x14ac:dyDescent="0.25">
      <c r="A1107" t="str">
        <f>"1103"</f>
        <v>1103</v>
      </c>
      <c r="B1107" t="str">
        <f t="shared" si="61"/>
        <v>102</v>
      </c>
      <c r="C1107" t="str">
        <f t="shared" si="62"/>
        <v>45</v>
      </c>
      <c r="D1107" t="str">
        <f>"1"</f>
        <v>1</v>
      </c>
      <c r="E1107" t="str">
        <f>"102-45-1"</f>
        <v>102-45-1</v>
      </c>
      <c r="F1107" t="s">
        <v>27</v>
      </c>
      <c r="G1107" t="s">
        <v>28</v>
      </c>
      <c r="H1107">
        <v>1</v>
      </c>
      <c r="Q1107">
        <v>1</v>
      </c>
      <c r="R1107">
        <v>0</v>
      </c>
      <c r="S1107">
        <v>1</v>
      </c>
      <c r="T1107">
        <v>0</v>
      </c>
      <c r="U1107">
        <v>1</v>
      </c>
      <c r="V1107">
        <v>0</v>
      </c>
    </row>
    <row r="1108" spans="1:26" x14ac:dyDescent="0.25">
      <c r="A1108" t="str">
        <f>"1104"</f>
        <v>1104</v>
      </c>
      <c r="B1108" t="str">
        <f t="shared" si="61"/>
        <v>102</v>
      </c>
      <c r="C1108" t="str">
        <f t="shared" si="62"/>
        <v>45</v>
      </c>
      <c r="D1108" t="str">
        <f>"20"</f>
        <v>20</v>
      </c>
      <c r="E1108" t="str">
        <f>"102-45-20"</f>
        <v>102-45-20</v>
      </c>
      <c r="F1108" t="s">
        <v>27</v>
      </c>
      <c r="G1108" t="s">
        <v>28</v>
      </c>
      <c r="H1108">
        <v>1</v>
      </c>
      <c r="Q1108">
        <v>1</v>
      </c>
      <c r="R1108">
        <v>0</v>
      </c>
      <c r="S1108">
        <v>0</v>
      </c>
      <c r="T1108">
        <v>1</v>
      </c>
      <c r="U1108">
        <v>1</v>
      </c>
      <c r="V1108">
        <v>0</v>
      </c>
    </row>
    <row r="1109" spans="1:26" x14ac:dyDescent="0.25">
      <c r="A1109" t="str">
        <f>"1105"</f>
        <v>1105</v>
      </c>
      <c r="B1109" t="str">
        <f t="shared" si="61"/>
        <v>102</v>
      </c>
      <c r="C1109" t="str">
        <f t="shared" si="62"/>
        <v>45</v>
      </c>
      <c r="D1109" t="str">
        <f>"12"</f>
        <v>12</v>
      </c>
      <c r="E1109" t="str">
        <f>"102-45-12"</f>
        <v>102-45-12</v>
      </c>
      <c r="F1109" t="s">
        <v>27</v>
      </c>
      <c r="G1109" t="s">
        <v>28</v>
      </c>
      <c r="H1109">
        <v>1</v>
      </c>
      <c r="Q1109">
        <v>0</v>
      </c>
      <c r="R1109">
        <v>1</v>
      </c>
      <c r="S1109">
        <v>0</v>
      </c>
      <c r="T1109">
        <v>1</v>
      </c>
      <c r="U1109">
        <v>0</v>
      </c>
      <c r="V1109">
        <v>1</v>
      </c>
    </row>
    <row r="1110" spans="1:26" x14ac:dyDescent="0.25">
      <c r="A1110" t="str">
        <f>"1106"</f>
        <v>1106</v>
      </c>
      <c r="B1110" t="str">
        <f t="shared" si="61"/>
        <v>102</v>
      </c>
      <c r="C1110" t="str">
        <f t="shared" si="62"/>
        <v>45</v>
      </c>
      <c r="D1110" t="str">
        <f>"10"</f>
        <v>10</v>
      </c>
      <c r="E1110" t="str">
        <f>"102-45-10"</f>
        <v>102-45-10</v>
      </c>
      <c r="F1110" t="s">
        <v>27</v>
      </c>
      <c r="G1110" t="s">
        <v>28</v>
      </c>
      <c r="H1110">
        <v>1</v>
      </c>
      <c r="Q1110">
        <v>0</v>
      </c>
      <c r="R1110">
        <v>1</v>
      </c>
      <c r="S1110">
        <v>0</v>
      </c>
      <c r="T1110">
        <v>1</v>
      </c>
      <c r="U1110">
        <v>0</v>
      </c>
      <c r="V1110">
        <v>1</v>
      </c>
    </row>
    <row r="1111" spans="1:26" x14ac:dyDescent="0.25">
      <c r="A1111" t="str">
        <f>"1107"</f>
        <v>1107</v>
      </c>
      <c r="B1111" t="str">
        <f t="shared" si="61"/>
        <v>102</v>
      </c>
      <c r="C1111" t="str">
        <f t="shared" si="62"/>
        <v>45</v>
      </c>
      <c r="D1111" t="str">
        <f>"23"</f>
        <v>23</v>
      </c>
      <c r="E1111" t="str">
        <f>"102-45-23"</f>
        <v>102-45-23</v>
      </c>
      <c r="F1111" t="s">
        <v>27</v>
      </c>
      <c r="G1111" t="s">
        <v>28</v>
      </c>
      <c r="H1111">
        <v>1</v>
      </c>
      <c r="Q1111">
        <v>1</v>
      </c>
      <c r="R1111">
        <v>0</v>
      </c>
      <c r="S1111">
        <v>0</v>
      </c>
      <c r="T1111">
        <v>1</v>
      </c>
      <c r="U1111">
        <v>1</v>
      </c>
      <c r="V1111">
        <v>0</v>
      </c>
    </row>
    <row r="1112" spans="1:26" x14ac:dyDescent="0.25">
      <c r="A1112" t="str">
        <f>"1108"</f>
        <v>1108</v>
      </c>
      <c r="B1112" t="str">
        <f t="shared" si="61"/>
        <v>102</v>
      </c>
      <c r="C1112" t="str">
        <f t="shared" si="62"/>
        <v>45</v>
      </c>
      <c r="D1112" t="str">
        <f>"13"</f>
        <v>13</v>
      </c>
      <c r="E1112" t="str">
        <f>"102-45-13"</f>
        <v>102-45-13</v>
      </c>
      <c r="F1112" t="s">
        <v>27</v>
      </c>
      <c r="G1112" t="s">
        <v>29</v>
      </c>
      <c r="H1112">
        <v>3</v>
      </c>
      <c r="M1112">
        <v>0</v>
      </c>
      <c r="N1112">
        <v>1</v>
      </c>
      <c r="O1112">
        <v>1</v>
      </c>
      <c r="P1112">
        <v>1</v>
      </c>
      <c r="Q1112">
        <v>0</v>
      </c>
      <c r="R1112">
        <v>1</v>
      </c>
      <c r="S1112">
        <v>0</v>
      </c>
      <c r="T1112">
        <v>1</v>
      </c>
      <c r="U1112">
        <v>0</v>
      </c>
      <c r="V1112">
        <v>1</v>
      </c>
      <c r="Y1112">
        <v>1</v>
      </c>
      <c r="Z1112">
        <v>0</v>
      </c>
    </row>
    <row r="1113" spans="1:26" x14ac:dyDescent="0.25">
      <c r="A1113" t="str">
        <f>"1109"</f>
        <v>1109</v>
      </c>
      <c r="B1113" t="str">
        <f t="shared" si="61"/>
        <v>102</v>
      </c>
      <c r="C1113" t="str">
        <f t="shared" si="62"/>
        <v>45</v>
      </c>
      <c r="D1113" t="str">
        <f>"8"</f>
        <v>8</v>
      </c>
      <c r="E1113" t="str">
        <f>"102-45-8"</f>
        <v>102-45-8</v>
      </c>
      <c r="F1113" t="s">
        <v>27</v>
      </c>
      <c r="G1113" t="s">
        <v>28</v>
      </c>
      <c r="H1113">
        <v>1</v>
      </c>
      <c r="Q1113">
        <v>0</v>
      </c>
      <c r="R1113">
        <v>1</v>
      </c>
      <c r="S1113">
        <v>0</v>
      </c>
      <c r="T1113">
        <v>1</v>
      </c>
      <c r="U1113">
        <v>0</v>
      </c>
      <c r="V1113">
        <v>1</v>
      </c>
    </row>
    <row r="1114" spans="1:26" x14ac:dyDescent="0.25">
      <c r="A1114" t="str">
        <f>"1110"</f>
        <v>1110</v>
      </c>
      <c r="B1114" t="str">
        <f t="shared" si="61"/>
        <v>102</v>
      </c>
      <c r="C1114" t="str">
        <f t="shared" si="62"/>
        <v>45</v>
      </c>
      <c r="D1114" t="str">
        <f>"24"</f>
        <v>24</v>
      </c>
      <c r="E1114" t="str">
        <f>"102-45-24"</f>
        <v>102-45-24</v>
      </c>
      <c r="F1114" t="s">
        <v>27</v>
      </c>
      <c r="G1114" t="s">
        <v>28</v>
      </c>
      <c r="H1114">
        <v>1</v>
      </c>
      <c r="Q1114">
        <v>0</v>
      </c>
      <c r="R1114">
        <v>1</v>
      </c>
      <c r="S1114">
        <v>0</v>
      </c>
      <c r="T1114">
        <v>1</v>
      </c>
      <c r="U1114">
        <v>0</v>
      </c>
      <c r="V1114">
        <v>1</v>
      </c>
    </row>
    <row r="1115" spans="1:26" x14ac:dyDescent="0.25">
      <c r="A1115" t="str">
        <f>"1111"</f>
        <v>1111</v>
      </c>
      <c r="B1115" t="str">
        <f t="shared" si="61"/>
        <v>102</v>
      </c>
      <c r="C1115" t="str">
        <f t="shared" si="62"/>
        <v>45</v>
      </c>
      <c r="D1115" t="str">
        <f>"14"</f>
        <v>14</v>
      </c>
      <c r="E1115" t="str">
        <f>"102-45-14"</f>
        <v>102-45-14</v>
      </c>
      <c r="F1115" t="s">
        <v>27</v>
      </c>
      <c r="G1115" t="s">
        <v>28</v>
      </c>
      <c r="H1115">
        <v>1</v>
      </c>
      <c r="Q1115">
        <v>0</v>
      </c>
      <c r="R1115">
        <v>1</v>
      </c>
      <c r="S1115">
        <v>0</v>
      </c>
      <c r="T1115">
        <v>1</v>
      </c>
      <c r="U1115">
        <v>0</v>
      </c>
      <c r="V1115">
        <v>1</v>
      </c>
    </row>
    <row r="1116" spans="1:26" x14ac:dyDescent="0.25">
      <c r="A1116" t="str">
        <f>"1112"</f>
        <v>1112</v>
      </c>
      <c r="B1116" t="str">
        <f t="shared" si="61"/>
        <v>102</v>
      </c>
      <c r="C1116" t="str">
        <f t="shared" si="62"/>
        <v>45</v>
      </c>
      <c r="D1116" t="str">
        <f>"2"</f>
        <v>2</v>
      </c>
      <c r="E1116" t="str">
        <f>"102-45-2"</f>
        <v>102-45-2</v>
      </c>
      <c r="F1116" t="s">
        <v>27</v>
      </c>
      <c r="G1116" t="s">
        <v>28</v>
      </c>
      <c r="H1116">
        <v>1</v>
      </c>
      <c r="Q1116">
        <v>0</v>
      </c>
      <c r="R1116">
        <v>0</v>
      </c>
      <c r="S1116">
        <v>0</v>
      </c>
      <c r="T1116">
        <v>1</v>
      </c>
      <c r="U1116">
        <v>0</v>
      </c>
      <c r="V1116">
        <v>1</v>
      </c>
    </row>
    <row r="1117" spans="1:26" x14ac:dyDescent="0.25">
      <c r="A1117" t="str">
        <f>"1113"</f>
        <v>1113</v>
      </c>
      <c r="B1117" t="str">
        <f t="shared" si="61"/>
        <v>102</v>
      </c>
      <c r="C1117" t="str">
        <f t="shared" si="62"/>
        <v>45</v>
      </c>
      <c r="D1117" t="str">
        <f>"25"</f>
        <v>25</v>
      </c>
      <c r="E1117" t="str">
        <f>"102-45-25"</f>
        <v>102-45-25</v>
      </c>
      <c r="F1117" t="s">
        <v>27</v>
      </c>
      <c r="G1117" t="s">
        <v>28</v>
      </c>
      <c r="H1117">
        <v>1</v>
      </c>
      <c r="Q1117">
        <v>0</v>
      </c>
      <c r="R1117">
        <v>1</v>
      </c>
      <c r="S1117">
        <v>0</v>
      </c>
      <c r="T1117">
        <v>0</v>
      </c>
      <c r="U1117">
        <v>0</v>
      </c>
      <c r="V1117">
        <v>1</v>
      </c>
    </row>
    <row r="1118" spans="1:26" x14ac:dyDescent="0.25">
      <c r="A1118" t="str">
        <f>"1114"</f>
        <v>1114</v>
      </c>
      <c r="B1118" t="str">
        <f t="shared" si="61"/>
        <v>102</v>
      </c>
      <c r="C1118" t="str">
        <f t="shared" si="62"/>
        <v>45</v>
      </c>
      <c r="D1118" t="str">
        <f>"15"</f>
        <v>15</v>
      </c>
      <c r="E1118" t="str">
        <f>"102-45-15"</f>
        <v>102-45-15</v>
      </c>
      <c r="F1118" t="s">
        <v>27</v>
      </c>
      <c r="G1118" t="s">
        <v>28</v>
      </c>
      <c r="H1118">
        <v>1</v>
      </c>
      <c r="Q1118">
        <v>0</v>
      </c>
      <c r="R1118">
        <v>1</v>
      </c>
      <c r="S1118">
        <v>0</v>
      </c>
      <c r="T1118">
        <v>1</v>
      </c>
      <c r="U1118">
        <v>0</v>
      </c>
      <c r="V1118">
        <v>1</v>
      </c>
    </row>
    <row r="1119" spans="1:26" x14ac:dyDescent="0.25">
      <c r="A1119" t="str">
        <f>"1115"</f>
        <v>1115</v>
      </c>
      <c r="B1119" t="str">
        <f t="shared" si="61"/>
        <v>102</v>
      </c>
      <c r="C1119" t="str">
        <f t="shared" si="62"/>
        <v>45</v>
      </c>
      <c r="D1119" t="str">
        <f>"3"</f>
        <v>3</v>
      </c>
      <c r="E1119" t="str">
        <f>"102-45-3"</f>
        <v>102-45-3</v>
      </c>
      <c r="F1119" t="s">
        <v>27</v>
      </c>
      <c r="G1119" t="s">
        <v>28</v>
      </c>
      <c r="H1119">
        <v>1</v>
      </c>
      <c r="Q1119">
        <v>0</v>
      </c>
      <c r="R1119">
        <v>1</v>
      </c>
      <c r="S1119">
        <v>0</v>
      </c>
      <c r="T1119">
        <v>1</v>
      </c>
      <c r="U1119">
        <v>1</v>
      </c>
      <c r="V1119">
        <v>0</v>
      </c>
    </row>
    <row r="1120" spans="1:26" x14ac:dyDescent="0.25">
      <c r="A1120" t="str">
        <f>"1116"</f>
        <v>1116</v>
      </c>
      <c r="B1120" t="str">
        <f t="shared" si="61"/>
        <v>102</v>
      </c>
      <c r="C1120" t="str">
        <f t="shared" si="62"/>
        <v>45</v>
      </c>
      <c r="D1120" t="str">
        <f>"16"</f>
        <v>16</v>
      </c>
      <c r="E1120" t="str">
        <f>"102-45-16"</f>
        <v>102-45-16</v>
      </c>
      <c r="F1120" t="s">
        <v>27</v>
      </c>
      <c r="G1120" t="s">
        <v>28</v>
      </c>
      <c r="H1120">
        <v>1</v>
      </c>
      <c r="Q1120">
        <v>0</v>
      </c>
      <c r="R1120">
        <v>1</v>
      </c>
      <c r="S1120">
        <v>0</v>
      </c>
      <c r="T1120">
        <v>1</v>
      </c>
      <c r="U1120">
        <v>0</v>
      </c>
      <c r="V1120">
        <v>1</v>
      </c>
    </row>
    <row r="1121" spans="1:26" x14ac:dyDescent="0.25">
      <c r="A1121" t="str">
        <f>"1117"</f>
        <v>1117</v>
      </c>
      <c r="B1121" t="str">
        <f t="shared" si="61"/>
        <v>102</v>
      </c>
      <c r="C1121" t="str">
        <f t="shared" si="62"/>
        <v>45</v>
      </c>
      <c r="D1121" t="str">
        <f>"6"</f>
        <v>6</v>
      </c>
      <c r="E1121" t="str">
        <f>"102-45-6"</f>
        <v>102-45-6</v>
      </c>
      <c r="F1121" t="s">
        <v>27</v>
      </c>
      <c r="G1121" t="s">
        <v>28</v>
      </c>
      <c r="H1121">
        <v>1</v>
      </c>
      <c r="Q1121">
        <v>0</v>
      </c>
      <c r="R1121">
        <v>1</v>
      </c>
      <c r="S1121">
        <v>0</v>
      </c>
      <c r="T1121">
        <v>1</v>
      </c>
      <c r="U1121">
        <v>0</v>
      </c>
      <c r="V1121">
        <v>1</v>
      </c>
    </row>
    <row r="1122" spans="1:26" x14ac:dyDescent="0.25">
      <c r="A1122" t="str">
        <f>"1118"</f>
        <v>1118</v>
      </c>
      <c r="B1122" t="str">
        <f t="shared" si="61"/>
        <v>102</v>
      </c>
      <c r="C1122" t="str">
        <f t="shared" si="62"/>
        <v>45</v>
      </c>
      <c r="D1122" t="str">
        <f>"17"</f>
        <v>17</v>
      </c>
      <c r="E1122" t="str">
        <f>"102-45-17"</f>
        <v>102-45-17</v>
      </c>
      <c r="F1122" t="s">
        <v>27</v>
      </c>
      <c r="G1122" t="s">
        <v>28</v>
      </c>
      <c r="H1122">
        <v>1</v>
      </c>
      <c r="Q1122">
        <v>1</v>
      </c>
      <c r="R1122">
        <v>0</v>
      </c>
      <c r="S1122">
        <v>1</v>
      </c>
      <c r="T1122">
        <v>0</v>
      </c>
      <c r="U1122">
        <v>1</v>
      </c>
      <c r="V1122">
        <v>0</v>
      </c>
    </row>
    <row r="1123" spans="1:26" x14ac:dyDescent="0.25">
      <c r="A1123" t="str">
        <f>"1119"</f>
        <v>1119</v>
      </c>
      <c r="B1123" t="str">
        <f t="shared" si="61"/>
        <v>102</v>
      </c>
      <c r="C1123" t="str">
        <f t="shared" si="62"/>
        <v>45</v>
      </c>
      <c r="D1123" t="str">
        <f>"5"</f>
        <v>5</v>
      </c>
      <c r="E1123" t="str">
        <f>"102-45-5"</f>
        <v>102-45-5</v>
      </c>
      <c r="F1123" t="s">
        <v>27</v>
      </c>
      <c r="G1123" t="s">
        <v>28</v>
      </c>
      <c r="H1123">
        <v>1</v>
      </c>
      <c r="Q1123">
        <v>0</v>
      </c>
      <c r="R1123">
        <v>1</v>
      </c>
      <c r="S1123">
        <v>0</v>
      </c>
      <c r="T1123">
        <v>1</v>
      </c>
      <c r="U1123">
        <v>0</v>
      </c>
      <c r="V1123">
        <v>1</v>
      </c>
    </row>
    <row r="1124" spans="1:26" x14ac:dyDescent="0.25">
      <c r="A1124" t="str">
        <f>"1120"</f>
        <v>1120</v>
      </c>
      <c r="B1124" t="str">
        <f t="shared" si="61"/>
        <v>102</v>
      </c>
      <c r="C1124" t="str">
        <f t="shared" si="62"/>
        <v>45</v>
      </c>
      <c r="D1124" t="str">
        <f>"18"</f>
        <v>18</v>
      </c>
      <c r="E1124" t="str">
        <f>"102-45-18"</f>
        <v>102-45-18</v>
      </c>
      <c r="F1124" t="s">
        <v>27</v>
      </c>
      <c r="G1124" t="s">
        <v>28</v>
      </c>
      <c r="H1124">
        <v>1</v>
      </c>
      <c r="Q1124">
        <v>1</v>
      </c>
      <c r="R1124">
        <v>0</v>
      </c>
      <c r="S1124">
        <v>0</v>
      </c>
      <c r="T1124">
        <v>1</v>
      </c>
      <c r="U1124">
        <v>1</v>
      </c>
      <c r="V1124">
        <v>0</v>
      </c>
    </row>
    <row r="1125" spans="1:26" x14ac:dyDescent="0.25">
      <c r="A1125" t="str">
        <f>"1121"</f>
        <v>1121</v>
      </c>
      <c r="B1125" t="str">
        <f t="shared" si="61"/>
        <v>102</v>
      </c>
      <c r="C1125" t="str">
        <f t="shared" si="62"/>
        <v>45</v>
      </c>
      <c r="D1125" t="str">
        <f>"7"</f>
        <v>7</v>
      </c>
      <c r="E1125" t="str">
        <f>"102-45-7"</f>
        <v>102-45-7</v>
      </c>
      <c r="F1125" t="s">
        <v>27</v>
      </c>
      <c r="G1125" t="s">
        <v>28</v>
      </c>
      <c r="H1125">
        <v>1</v>
      </c>
      <c r="Q1125">
        <v>0</v>
      </c>
      <c r="R1125">
        <v>1</v>
      </c>
      <c r="S1125">
        <v>0</v>
      </c>
      <c r="T1125">
        <v>1</v>
      </c>
      <c r="U1125">
        <v>0</v>
      </c>
      <c r="V1125">
        <v>1</v>
      </c>
    </row>
    <row r="1126" spans="1:26" x14ac:dyDescent="0.25">
      <c r="A1126" t="str">
        <f>"1122"</f>
        <v>1122</v>
      </c>
      <c r="B1126" t="str">
        <f t="shared" si="61"/>
        <v>102</v>
      </c>
      <c r="C1126" t="str">
        <f t="shared" si="62"/>
        <v>45</v>
      </c>
      <c r="D1126" t="str">
        <f>"19"</f>
        <v>19</v>
      </c>
      <c r="E1126" t="str">
        <f>"102-45-19"</f>
        <v>102-45-19</v>
      </c>
      <c r="F1126" t="s">
        <v>27</v>
      </c>
      <c r="G1126" t="s">
        <v>28</v>
      </c>
      <c r="H1126">
        <v>1</v>
      </c>
      <c r="Q1126">
        <v>1</v>
      </c>
      <c r="R1126">
        <v>0</v>
      </c>
      <c r="S1126">
        <v>1</v>
      </c>
      <c r="T1126">
        <v>0</v>
      </c>
      <c r="U1126">
        <v>1</v>
      </c>
      <c r="V1126">
        <v>0</v>
      </c>
    </row>
    <row r="1127" spans="1:26" x14ac:dyDescent="0.25">
      <c r="A1127" t="str">
        <f>"1123"</f>
        <v>1123</v>
      </c>
      <c r="B1127" t="str">
        <f t="shared" si="61"/>
        <v>102</v>
      </c>
      <c r="C1127" t="str">
        <f t="shared" si="62"/>
        <v>45</v>
      </c>
      <c r="D1127" t="str">
        <f>"4"</f>
        <v>4</v>
      </c>
      <c r="E1127" t="str">
        <f>"102-45-4"</f>
        <v>102-45-4</v>
      </c>
      <c r="F1127" t="s">
        <v>27</v>
      </c>
      <c r="G1127" t="s">
        <v>28</v>
      </c>
      <c r="H1127">
        <v>1</v>
      </c>
      <c r="Q1127">
        <v>0</v>
      </c>
      <c r="R1127">
        <v>1</v>
      </c>
      <c r="S1127">
        <v>0</v>
      </c>
      <c r="T1127">
        <v>1</v>
      </c>
      <c r="U1127">
        <v>0</v>
      </c>
      <c r="V1127">
        <v>1</v>
      </c>
    </row>
    <row r="1128" spans="1:26" x14ac:dyDescent="0.25">
      <c r="A1128" t="str">
        <f>"1124"</f>
        <v>1124</v>
      </c>
      <c r="B1128" t="str">
        <f t="shared" si="61"/>
        <v>102</v>
      </c>
      <c r="C1128" t="str">
        <f t="shared" si="62"/>
        <v>45</v>
      </c>
      <c r="D1128" t="str">
        <f>"21"</f>
        <v>21</v>
      </c>
      <c r="E1128" t="str">
        <f>"102-45-21"</f>
        <v>102-45-21</v>
      </c>
      <c r="F1128" t="s">
        <v>27</v>
      </c>
      <c r="G1128" t="s">
        <v>28</v>
      </c>
      <c r="H1128">
        <v>1</v>
      </c>
      <c r="Q1128">
        <v>0</v>
      </c>
      <c r="R1128">
        <v>1</v>
      </c>
      <c r="S1128">
        <v>0</v>
      </c>
      <c r="T1128">
        <v>1</v>
      </c>
      <c r="U1128">
        <v>0</v>
      </c>
      <c r="V1128">
        <v>1</v>
      </c>
    </row>
    <row r="1129" spans="1:26" x14ac:dyDescent="0.25">
      <c r="A1129" t="str">
        <f>"1125"</f>
        <v>1125</v>
      </c>
      <c r="B1129" t="str">
        <f t="shared" si="61"/>
        <v>102</v>
      </c>
      <c r="C1129" t="str">
        <f t="shared" si="62"/>
        <v>45</v>
      </c>
      <c r="D1129" t="str">
        <f>"9"</f>
        <v>9</v>
      </c>
      <c r="E1129" t="str">
        <f>"102-45-9"</f>
        <v>102-45-9</v>
      </c>
      <c r="F1129" t="s">
        <v>27</v>
      </c>
      <c r="G1129" t="s">
        <v>29</v>
      </c>
      <c r="H1129">
        <v>3</v>
      </c>
      <c r="M1129">
        <v>0</v>
      </c>
      <c r="N1129">
        <v>1</v>
      </c>
      <c r="O1129">
        <v>1</v>
      </c>
      <c r="P1129">
        <v>1</v>
      </c>
      <c r="Q1129">
        <v>0</v>
      </c>
      <c r="R1129">
        <v>1</v>
      </c>
      <c r="S1129">
        <v>0</v>
      </c>
      <c r="T1129">
        <v>1</v>
      </c>
      <c r="U1129">
        <v>0</v>
      </c>
      <c r="V1129">
        <v>1</v>
      </c>
      <c r="Y1129">
        <v>1</v>
      </c>
      <c r="Z1129">
        <v>0</v>
      </c>
    </row>
    <row r="1130" spans="1:26" x14ac:dyDescent="0.25">
      <c r="A1130" t="str">
        <f>"1126"</f>
        <v>1126</v>
      </c>
      <c r="B1130" t="str">
        <f t="shared" si="61"/>
        <v>102</v>
      </c>
      <c r="C1130" t="str">
        <f t="shared" ref="C1130:C1154" si="63">"46"</f>
        <v>46</v>
      </c>
      <c r="D1130" t="str">
        <f>"21"</f>
        <v>21</v>
      </c>
      <c r="E1130" t="str">
        <f>"102-46-21"</f>
        <v>102-46-21</v>
      </c>
      <c r="F1130" t="s">
        <v>27</v>
      </c>
      <c r="G1130" t="s">
        <v>28</v>
      </c>
      <c r="H1130">
        <v>1</v>
      </c>
      <c r="Q1130">
        <v>0</v>
      </c>
      <c r="R1130">
        <v>1</v>
      </c>
      <c r="S1130">
        <v>0</v>
      </c>
      <c r="T1130">
        <v>1</v>
      </c>
      <c r="U1130">
        <v>0</v>
      </c>
      <c r="V1130">
        <v>1</v>
      </c>
    </row>
    <row r="1131" spans="1:26" x14ac:dyDescent="0.25">
      <c r="A1131" t="str">
        <f>"1127"</f>
        <v>1127</v>
      </c>
      <c r="B1131" t="str">
        <f t="shared" si="61"/>
        <v>102</v>
      </c>
      <c r="C1131" t="str">
        <f t="shared" si="63"/>
        <v>46</v>
      </c>
      <c r="D1131" t="str">
        <f>"11"</f>
        <v>11</v>
      </c>
      <c r="E1131" t="str">
        <f>"102-46-11"</f>
        <v>102-46-11</v>
      </c>
      <c r="F1131" t="s">
        <v>27</v>
      </c>
      <c r="G1131" t="s">
        <v>28</v>
      </c>
      <c r="H1131">
        <v>1</v>
      </c>
      <c r="Q1131">
        <v>1</v>
      </c>
      <c r="R1131">
        <v>0</v>
      </c>
      <c r="S1131">
        <v>1</v>
      </c>
      <c r="T1131">
        <v>0</v>
      </c>
      <c r="U1131">
        <v>0</v>
      </c>
      <c r="V1131">
        <v>1</v>
      </c>
    </row>
    <row r="1132" spans="1:26" x14ac:dyDescent="0.25">
      <c r="A1132" t="str">
        <f>"1128"</f>
        <v>1128</v>
      </c>
      <c r="B1132" t="str">
        <f t="shared" si="61"/>
        <v>102</v>
      </c>
      <c r="C1132" t="str">
        <f t="shared" si="63"/>
        <v>46</v>
      </c>
      <c r="D1132" t="str">
        <f>"1"</f>
        <v>1</v>
      </c>
      <c r="E1132" t="str">
        <f>"102-46-1"</f>
        <v>102-46-1</v>
      </c>
      <c r="F1132" t="s">
        <v>27</v>
      </c>
      <c r="G1132" t="s">
        <v>28</v>
      </c>
      <c r="H1132">
        <v>1</v>
      </c>
      <c r="Q1132">
        <v>0</v>
      </c>
      <c r="R1132">
        <v>1</v>
      </c>
      <c r="S1132">
        <v>0</v>
      </c>
      <c r="T1132">
        <v>1</v>
      </c>
      <c r="U1132">
        <v>0</v>
      </c>
      <c r="V1132">
        <v>1</v>
      </c>
    </row>
    <row r="1133" spans="1:26" x14ac:dyDescent="0.25">
      <c r="A1133" t="str">
        <f>"1129"</f>
        <v>1129</v>
      </c>
      <c r="B1133" t="str">
        <f t="shared" si="61"/>
        <v>102</v>
      </c>
      <c r="C1133" t="str">
        <f t="shared" si="63"/>
        <v>46</v>
      </c>
      <c r="D1133" t="str">
        <f>"22"</f>
        <v>22</v>
      </c>
      <c r="E1133" t="str">
        <f>"102-46-22"</f>
        <v>102-46-22</v>
      </c>
      <c r="F1133" t="s">
        <v>27</v>
      </c>
      <c r="G1133" t="s">
        <v>28</v>
      </c>
      <c r="H1133">
        <v>1</v>
      </c>
      <c r="Q1133">
        <v>1</v>
      </c>
      <c r="R1133">
        <v>0</v>
      </c>
      <c r="S1133">
        <v>1</v>
      </c>
      <c r="T1133">
        <v>0</v>
      </c>
      <c r="U1133">
        <v>1</v>
      </c>
      <c r="V1133">
        <v>0</v>
      </c>
    </row>
    <row r="1134" spans="1:26" x14ac:dyDescent="0.25">
      <c r="A1134" t="str">
        <f>"1130"</f>
        <v>1130</v>
      </c>
      <c r="B1134" t="str">
        <f t="shared" si="61"/>
        <v>102</v>
      </c>
      <c r="C1134" t="str">
        <f t="shared" si="63"/>
        <v>46</v>
      </c>
      <c r="D1134" t="str">
        <f>"12"</f>
        <v>12</v>
      </c>
      <c r="E1134" t="str">
        <f>"102-46-12"</f>
        <v>102-46-12</v>
      </c>
      <c r="F1134" t="s">
        <v>27</v>
      </c>
      <c r="G1134" t="s">
        <v>28</v>
      </c>
      <c r="H1134">
        <v>1</v>
      </c>
      <c r="Q1134">
        <v>0</v>
      </c>
      <c r="R1134">
        <v>1</v>
      </c>
      <c r="S1134">
        <v>0</v>
      </c>
      <c r="T1134">
        <v>1</v>
      </c>
      <c r="U1134">
        <v>0</v>
      </c>
      <c r="V1134">
        <v>1</v>
      </c>
    </row>
    <row r="1135" spans="1:26" x14ac:dyDescent="0.25">
      <c r="A1135" t="str">
        <f>"1131"</f>
        <v>1131</v>
      </c>
      <c r="B1135" t="str">
        <f t="shared" si="61"/>
        <v>102</v>
      </c>
      <c r="C1135" t="str">
        <f t="shared" si="63"/>
        <v>46</v>
      </c>
      <c r="D1135" t="str">
        <f>"2"</f>
        <v>2</v>
      </c>
      <c r="E1135" t="str">
        <f>"102-46-2"</f>
        <v>102-46-2</v>
      </c>
      <c r="F1135" t="s">
        <v>27</v>
      </c>
      <c r="G1135" t="s">
        <v>28</v>
      </c>
      <c r="H1135">
        <v>1</v>
      </c>
      <c r="Q1135">
        <v>0</v>
      </c>
      <c r="R1135">
        <v>1</v>
      </c>
      <c r="S1135">
        <v>0</v>
      </c>
      <c r="T1135">
        <v>1</v>
      </c>
      <c r="U1135">
        <v>0</v>
      </c>
      <c r="V1135">
        <v>1</v>
      </c>
    </row>
    <row r="1136" spans="1:26" x14ac:dyDescent="0.25">
      <c r="A1136" t="str">
        <f>"1132"</f>
        <v>1132</v>
      </c>
      <c r="B1136" t="str">
        <f t="shared" si="61"/>
        <v>102</v>
      </c>
      <c r="C1136" t="str">
        <f t="shared" si="63"/>
        <v>46</v>
      </c>
      <c r="D1136" t="str">
        <f>"13"</f>
        <v>13</v>
      </c>
      <c r="E1136" t="str">
        <f>"102-46-13"</f>
        <v>102-46-13</v>
      </c>
      <c r="F1136" t="s">
        <v>27</v>
      </c>
      <c r="G1136" t="s">
        <v>28</v>
      </c>
      <c r="H1136">
        <v>1</v>
      </c>
      <c r="Q1136">
        <v>1</v>
      </c>
      <c r="R1136">
        <v>0</v>
      </c>
      <c r="S1136">
        <v>1</v>
      </c>
      <c r="T1136">
        <v>0</v>
      </c>
      <c r="U1136">
        <v>0</v>
      </c>
      <c r="V1136">
        <v>1</v>
      </c>
    </row>
    <row r="1137" spans="1:22" x14ac:dyDescent="0.25">
      <c r="A1137" t="str">
        <f>"1133"</f>
        <v>1133</v>
      </c>
      <c r="B1137" t="str">
        <f t="shared" si="61"/>
        <v>102</v>
      </c>
      <c r="C1137" t="str">
        <f t="shared" si="63"/>
        <v>46</v>
      </c>
      <c r="D1137" t="str">
        <f>"5"</f>
        <v>5</v>
      </c>
      <c r="E1137" t="str">
        <f>"102-46-5"</f>
        <v>102-46-5</v>
      </c>
      <c r="F1137" t="s">
        <v>27</v>
      </c>
      <c r="G1137" t="s">
        <v>28</v>
      </c>
      <c r="H1137">
        <v>1</v>
      </c>
      <c r="Q1137">
        <v>1</v>
      </c>
      <c r="R1137">
        <v>0</v>
      </c>
      <c r="S1137">
        <v>1</v>
      </c>
      <c r="T1137">
        <v>0</v>
      </c>
      <c r="U1137">
        <v>1</v>
      </c>
      <c r="V1137">
        <v>0</v>
      </c>
    </row>
    <row r="1138" spans="1:22" x14ac:dyDescent="0.25">
      <c r="A1138" t="str">
        <f>"1134"</f>
        <v>1134</v>
      </c>
      <c r="B1138" t="str">
        <f t="shared" si="61"/>
        <v>102</v>
      </c>
      <c r="C1138" t="str">
        <f t="shared" si="63"/>
        <v>46</v>
      </c>
      <c r="D1138" t="str">
        <f>"14"</f>
        <v>14</v>
      </c>
      <c r="E1138" t="str">
        <f>"102-46-14"</f>
        <v>102-46-14</v>
      </c>
      <c r="F1138" t="s">
        <v>27</v>
      </c>
      <c r="G1138" t="s">
        <v>28</v>
      </c>
      <c r="H1138">
        <v>1</v>
      </c>
      <c r="Q1138">
        <v>0</v>
      </c>
      <c r="R1138">
        <v>1</v>
      </c>
      <c r="S1138">
        <v>0</v>
      </c>
      <c r="T1138">
        <v>1</v>
      </c>
      <c r="U1138">
        <v>1</v>
      </c>
      <c r="V1138">
        <v>0</v>
      </c>
    </row>
    <row r="1139" spans="1:22" x14ac:dyDescent="0.25">
      <c r="A1139" t="str">
        <f>"1135"</f>
        <v>1135</v>
      </c>
      <c r="B1139" t="str">
        <f t="shared" si="61"/>
        <v>102</v>
      </c>
      <c r="C1139" t="str">
        <f t="shared" si="63"/>
        <v>46</v>
      </c>
      <c r="D1139" t="str">
        <f>"7"</f>
        <v>7</v>
      </c>
      <c r="E1139" t="str">
        <f>"102-46-7"</f>
        <v>102-46-7</v>
      </c>
      <c r="F1139" t="s">
        <v>27</v>
      </c>
      <c r="G1139" t="s">
        <v>28</v>
      </c>
      <c r="H1139">
        <v>1</v>
      </c>
      <c r="Q1139">
        <v>1</v>
      </c>
      <c r="R1139">
        <v>0</v>
      </c>
      <c r="S1139">
        <v>1</v>
      </c>
      <c r="T1139">
        <v>0</v>
      </c>
      <c r="U1139">
        <v>0</v>
      </c>
      <c r="V1139">
        <v>1</v>
      </c>
    </row>
    <row r="1140" spans="1:22" x14ac:dyDescent="0.25">
      <c r="A1140" t="str">
        <f>"1136"</f>
        <v>1136</v>
      </c>
      <c r="B1140" t="str">
        <f t="shared" si="61"/>
        <v>102</v>
      </c>
      <c r="C1140" t="str">
        <f t="shared" si="63"/>
        <v>46</v>
      </c>
      <c r="D1140" t="str">
        <f>"23"</f>
        <v>23</v>
      </c>
      <c r="E1140" t="str">
        <f>"102-46-23"</f>
        <v>102-46-23</v>
      </c>
      <c r="F1140" t="s">
        <v>27</v>
      </c>
      <c r="G1140" t="s">
        <v>28</v>
      </c>
      <c r="H1140">
        <v>1</v>
      </c>
      <c r="Q1140">
        <v>1</v>
      </c>
      <c r="R1140">
        <v>0</v>
      </c>
      <c r="S1140">
        <v>1</v>
      </c>
      <c r="T1140">
        <v>0</v>
      </c>
      <c r="U1140">
        <v>1</v>
      </c>
      <c r="V1140">
        <v>0</v>
      </c>
    </row>
    <row r="1141" spans="1:22" x14ac:dyDescent="0.25">
      <c r="A1141" t="str">
        <f>"1137"</f>
        <v>1137</v>
      </c>
      <c r="B1141" t="str">
        <f t="shared" si="61"/>
        <v>102</v>
      </c>
      <c r="C1141" t="str">
        <f t="shared" si="63"/>
        <v>46</v>
      </c>
      <c r="D1141" t="str">
        <f>"15"</f>
        <v>15</v>
      </c>
      <c r="E1141" t="str">
        <f>"102-46-15"</f>
        <v>102-46-15</v>
      </c>
      <c r="F1141" t="s">
        <v>27</v>
      </c>
      <c r="G1141" t="s">
        <v>28</v>
      </c>
      <c r="H1141">
        <v>1</v>
      </c>
      <c r="Q1141">
        <v>1</v>
      </c>
      <c r="R1141">
        <v>0</v>
      </c>
      <c r="S1141">
        <v>1</v>
      </c>
      <c r="T1141">
        <v>0</v>
      </c>
      <c r="U1141">
        <v>1</v>
      </c>
      <c r="V1141">
        <v>0</v>
      </c>
    </row>
    <row r="1142" spans="1:22" x14ac:dyDescent="0.25">
      <c r="A1142" t="str">
        <f>"1138"</f>
        <v>1138</v>
      </c>
      <c r="B1142" t="str">
        <f t="shared" si="61"/>
        <v>102</v>
      </c>
      <c r="C1142" t="str">
        <f t="shared" si="63"/>
        <v>46</v>
      </c>
      <c r="D1142" t="str">
        <f>"8"</f>
        <v>8</v>
      </c>
      <c r="E1142" t="str">
        <f>"102-46-8"</f>
        <v>102-46-8</v>
      </c>
      <c r="F1142" t="s">
        <v>27</v>
      </c>
      <c r="G1142" t="s">
        <v>28</v>
      </c>
      <c r="H1142">
        <v>1</v>
      </c>
      <c r="Q1142">
        <v>0</v>
      </c>
      <c r="R1142">
        <v>1</v>
      </c>
      <c r="S1142">
        <v>0</v>
      </c>
      <c r="T1142">
        <v>1</v>
      </c>
      <c r="U1142">
        <v>0</v>
      </c>
      <c r="V1142">
        <v>1</v>
      </c>
    </row>
    <row r="1143" spans="1:22" x14ac:dyDescent="0.25">
      <c r="A1143" t="str">
        <f>"1139"</f>
        <v>1139</v>
      </c>
      <c r="B1143" t="str">
        <f t="shared" si="61"/>
        <v>102</v>
      </c>
      <c r="C1143" t="str">
        <f t="shared" si="63"/>
        <v>46</v>
      </c>
      <c r="D1143" t="str">
        <f>"25"</f>
        <v>25</v>
      </c>
      <c r="E1143" t="str">
        <f>"102-46-25"</f>
        <v>102-46-25</v>
      </c>
      <c r="F1143" t="s">
        <v>27</v>
      </c>
      <c r="G1143" t="s">
        <v>28</v>
      </c>
      <c r="H1143">
        <v>1</v>
      </c>
      <c r="Q1143">
        <v>0</v>
      </c>
      <c r="R1143">
        <v>1</v>
      </c>
      <c r="S1143">
        <v>0</v>
      </c>
      <c r="T1143">
        <v>1</v>
      </c>
      <c r="U1143">
        <v>0</v>
      </c>
      <c r="V1143">
        <v>1</v>
      </c>
    </row>
    <row r="1144" spans="1:22" x14ac:dyDescent="0.25">
      <c r="A1144" t="str">
        <f>"1140"</f>
        <v>1140</v>
      </c>
      <c r="B1144" t="str">
        <f t="shared" si="61"/>
        <v>102</v>
      </c>
      <c r="C1144" t="str">
        <f t="shared" si="63"/>
        <v>46</v>
      </c>
      <c r="D1144" t="str">
        <f>"16"</f>
        <v>16</v>
      </c>
      <c r="E1144" t="str">
        <f>"102-46-16"</f>
        <v>102-46-16</v>
      </c>
      <c r="F1144" t="s">
        <v>27</v>
      </c>
      <c r="G1144" t="s">
        <v>28</v>
      </c>
      <c r="H1144">
        <v>1</v>
      </c>
      <c r="Q1144">
        <v>0</v>
      </c>
      <c r="R1144">
        <v>1</v>
      </c>
      <c r="S1144">
        <v>0</v>
      </c>
      <c r="T1144">
        <v>1</v>
      </c>
      <c r="U1144">
        <v>1</v>
      </c>
      <c r="V1144">
        <v>0</v>
      </c>
    </row>
    <row r="1145" spans="1:22" x14ac:dyDescent="0.25">
      <c r="A1145" t="str">
        <f>"1141"</f>
        <v>1141</v>
      </c>
      <c r="B1145" t="str">
        <f t="shared" si="61"/>
        <v>102</v>
      </c>
      <c r="C1145" t="str">
        <f t="shared" si="63"/>
        <v>46</v>
      </c>
      <c r="D1145" t="str">
        <f>"3"</f>
        <v>3</v>
      </c>
      <c r="E1145" t="str">
        <f>"102-46-3"</f>
        <v>102-46-3</v>
      </c>
      <c r="F1145" t="s">
        <v>27</v>
      </c>
      <c r="G1145" t="s">
        <v>28</v>
      </c>
      <c r="H1145">
        <v>1</v>
      </c>
      <c r="Q1145">
        <v>0</v>
      </c>
      <c r="R1145">
        <v>1</v>
      </c>
      <c r="S1145">
        <v>0</v>
      </c>
      <c r="T1145">
        <v>1</v>
      </c>
      <c r="U1145">
        <v>0</v>
      </c>
      <c r="V1145">
        <v>1</v>
      </c>
    </row>
    <row r="1146" spans="1:22" x14ac:dyDescent="0.25">
      <c r="A1146" t="str">
        <f>"1142"</f>
        <v>1142</v>
      </c>
      <c r="B1146" t="str">
        <f t="shared" si="61"/>
        <v>102</v>
      </c>
      <c r="C1146" t="str">
        <f t="shared" si="63"/>
        <v>46</v>
      </c>
      <c r="D1146" t="str">
        <f>"17"</f>
        <v>17</v>
      </c>
      <c r="E1146" t="str">
        <f>"102-46-17"</f>
        <v>102-46-17</v>
      </c>
      <c r="F1146" t="s">
        <v>27</v>
      </c>
      <c r="G1146" t="s">
        <v>28</v>
      </c>
      <c r="H1146">
        <v>1</v>
      </c>
      <c r="Q1146">
        <v>0</v>
      </c>
      <c r="R1146">
        <v>1</v>
      </c>
      <c r="S1146">
        <v>1</v>
      </c>
      <c r="T1146">
        <v>0</v>
      </c>
      <c r="U1146">
        <v>0</v>
      </c>
      <c r="V1146">
        <v>1</v>
      </c>
    </row>
    <row r="1147" spans="1:22" x14ac:dyDescent="0.25">
      <c r="A1147" t="str">
        <f>"1143"</f>
        <v>1143</v>
      </c>
      <c r="B1147" t="str">
        <f t="shared" si="61"/>
        <v>102</v>
      </c>
      <c r="C1147" t="str">
        <f t="shared" si="63"/>
        <v>46</v>
      </c>
      <c r="D1147" t="str">
        <f>"6"</f>
        <v>6</v>
      </c>
      <c r="E1147" t="str">
        <f>"102-46-6"</f>
        <v>102-46-6</v>
      </c>
      <c r="F1147" t="s">
        <v>27</v>
      </c>
      <c r="G1147" t="s">
        <v>28</v>
      </c>
      <c r="H1147">
        <v>1</v>
      </c>
      <c r="Q1147">
        <v>1</v>
      </c>
      <c r="R1147">
        <v>0</v>
      </c>
      <c r="S1147">
        <v>1</v>
      </c>
      <c r="T1147">
        <v>0</v>
      </c>
      <c r="U1147">
        <v>1</v>
      </c>
      <c r="V1147">
        <v>0</v>
      </c>
    </row>
    <row r="1148" spans="1:22" x14ac:dyDescent="0.25">
      <c r="A1148" t="str">
        <f>"1144"</f>
        <v>1144</v>
      </c>
      <c r="B1148" t="str">
        <f t="shared" si="61"/>
        <v>102</v>
      </c>
      <c r="C1148" t="str">
        <f t="shared" si="63"/>
        <v>46</v>
      </c>
      <c r="D1148" t="str">
        <f>"24"</f>
        <v>24</v>
      </c>
      <c r="E1148" t="str">
        <f>"102-46-24"</f>
        <v>102-46-24</v>
      </c>
      <c r="F1148" t="s">
        <v>27</v>
      </c>
      <c r="G1148" t="s">
        <v>28</v>
      </c>
      <c r="H1148">
        <v>1</v>
      </c>
      <c r="Q1148">
        <v>0</v>
      </c>
      <c r="R1148">
        <v>1</v>
      </c>
      <c r="S1148">
        <v>0</v>
      </c>
      <c r="T1148">
        <v>1</v>
      </c>
      <c r="U1148">
        <v>0</v>
      </c>
      <c r="V1148">
        <v>1</v>
      </c>
    </row>
    <row r="1149" spans="1:22" x14ac:dyDescent="0.25">
      <c r="A1149" t="str">
        <f>"1145"</f>
        <v>1145</v>
      </c>
      <c r="B1149" t="str">
        <f t="shared" si="61"/>
        <v>102</v>
      </c>
      <c r="C1149" t="str">
        <f t="shared" si="63"/>
        <v>46</v>
      </c>
      <c r="D1149" t="str">
        <f>"18"</f>
        <v>18</v>
      </c>
      <c r="E1149" t="str">
        <f>"102-46-18"</f>
        <v>102-46-18</v>
      </c>
      <c r="F1149" t="s">
        <v>27</v>
      </c>
      <c r="G1149" t="s">
        <v>28</v>
      </c>
      <c r="H1149">
        <v>1</v>
      </c>
      <c r="Q1149">
        <v>0</v>
      </c>
      <c r="R1149">
        <v>1</v>
      </c>
      <c r="S1149">
        <v>0</v>
      </c>
      <c r="T1149">
        <v>1</v>
      </c>
      <c r="U1149">
        <v>0</v>
      </c>
      <c r="V1149">
        <v>1</v>
      </c>
    </row>
    <row r="1150" spans="1:22" x14ac:dyDescent="0.25">
      <c r="A1150" t="str">
        <f>"1146"</f>
        <v>1146</v>
      </c>
      <c r="B1150" t="str">
        <f t="shared" si="61"/>
        <v>102</v>
      </c>
      <c r="C1150" t="str">
        <f t="shared" si="63"/>
        <v>46</v>
      </c>
      <c r="D1150" t="str">
        <f>"4"</f>
        <v>4</v>
      </c>
      <c r="E1150" t="str">
        <f>"102-46-4"</f>
        <v>102-46-4</v>
      </c>
      <c r="F1150" t="s">
        <v>27</v>
      </c>
      <c r="G1150" t="s">
        <v>28</v>
      </c>
      <c r="H1150">
        <v>1</v>
      </c>
      <c r="Q1150">
        <v>0</v>
      </c>
      <c r="R1150">
        <v>1</v>
      </c>
      <c r="S1150">
        <v>0</v>
      </c>
      <c r="T1150">
        <v>1</v>
      </c>
      <c r="U1150">
        <v>0</v>
      </c>
      <c r="V1150">
        <v>1</v>
      </c>
    </row>
    <row r="1151" spans="1:22" x14ac:dyDescent="0.25">
      <c r="A1151" t="str">
        <f>"1147"</f>
        <v>1147</v>
      </c>
      <c r="B1151" t="str">
        <f t="shared" si="61"/>
        <v>102</v>
      </c>
      <c r="C1151" t="str">
        <f t="shared" si="63"/>
        <v>46</v>
      </c>
      <c r="D1151" t="str">
        <f>"19"</f>
        <v>19</v>
      </c>
      <c r="E1151" t="str">
        <f>"102-46-19"</f>
        <v>102-46-19</v>
      </c>
      <c r="F1151" t="s">
        <v>27</v>
      </c>
      <c r="G1151" t="s">
        <v>28</v>
      </c>
      <c r="H1151">
        <v>1</v>
      </c>
      <c r="Q1151">
        <v>1</v>
      </c>
      <c r="R1151">
        <v>0</v>
      </c>
      <c r="S1151">
        <v>0</v>
      </c>
      <c r="T1151">
        <v>1</v>
      </c>
      <c r="U1151">
        <v>1</v>
      </c>
      <c r="V1151">
        <v>0</v>
      </c>
    </row>
    <row r="1152" spans="1:22" x14ac:dyDescent="0.25">
      <c r="A1152" t="str">
        <f>"1148"</f>
        <v>1148</v>
      </c>
      <c r="B1152" t="str">
        <f t="shared" si="61"/>
        <v>102</v>
      </c>
      <c r="C1152" t="str">
        <f t="shared" si="63"/>
        <v>46</v>
      </c>
      <c r="D1152" t="str">
        <f>"9"</f>
        <v>9</v>
      </c>
      <c r="E1152" t="str">
        <f>"102-46-9"</f>
        <v>102-46-9</v>
      </c>
      <c r="F1152" t="s">
        <v>27</v>
      </c>
      <c r="G1152" t="s">
        <v>28</v>
      </c>
      <c r="H1152">
        <v>1</v>
      </c>
      <c r="Q1152">
        <v>0</v>
      </c>
      <c r="R1152">
        <v>1</v>
      </c>
      <c r="S1152">
        <v>0</v>
      </c>
      <c r="T1152">
        <v>1</v>
      </c>
      <c r="U1152">
        <v>0</v>
      </c>
      <c r="V1152">
        <v>1</v>
      </c>
    </row>
    <row r="1153" spans="1:26" x14ac:dyDescent="0.25">
      <c r="A1153" t="str">
        <f>"1149"</f>
        <v>1149</v>
      </c>
      <c r="B1153" t="str">
        <f t="shared" si="61"/>
        <v>102</v>
      </c>
      <c r="C1153" t="str">
        <f t="shared" si="63"/>
        <v>46</v>
      </c>
      <c r="D1153" t="str">
        <f>"20"</f>
        <v>20</v>
      </c>
      <c r="E1153" t="str">
        <f>"102-46-20"</f>
        <v>102-46-20</v>
      </c>
      <c r="F1153" t="s">
        <v>27</v>
      </c>
      <c r="G1153" t="s">
        <v>28</v>
      </c>
      <c r="H1153">
        <v>1</v>
      </c>
      <c r="Q1153">
        <v>1</v>
      </c>
      <c r="R1153">
        <v>0</v>
      </c>
      <c r="S1153">
        <v>1</v>
      </c>
      <c r="T1153">
        <v>0</v>
      </c>
      <c r="U1153">
        <v>1</v>
      </c>
      <c r="V1153">
        <v>0</v>
      </c>
    </row>
    <row r="1154" spans="1:26" x14ac:dyDescent="0.25">
      <c r="A1154" t="str">
        <f>"1150"</f>
        <v>1150</v>
      </c>
      <c r="B1154" t="str">
        <f t="shared" si="61"/>
        <v>102</v>
      </c>
      <c r="C1154" t="str">
        <f t="shared" si="63"/>
        <v>46</v>
      </c>
      <c r="D1154" t="str">
        <f>"10"</f>
        <v>10</v>
      </c>
      <c r="E1154" t="str">
        <f>"102-46-10"</f>
        <v>102-46-10</v>
      </c>
      <c r="F1154" t="s">
        <v>27</v>
      </c>
      <c r="G1154" t="s">
        <v>28</v>
      </c>
      <c r="H1154">
        <v>1</v>
      </c>
      <c r="Q1154">
        <v>1</v>
      </c>
      <c r="R1154">
        <v>0</v>
      </c>
      <c r="S1154">
        <v>1</v>
      </c>
      <c r="T1154">
        <v>0</v>
      </c>
      <c r="U1154">
        <v>1</v>
      </c>
      <c r="V1154">
        <v>0</v>
      </c>
    </row>
    <row r="1155" spans="1:26" x14ac:dyDescent="0.25">
      <c r="A1155" t="str">
        <f>"1151"</f>
        <v>1151</v>
      </c>
      <c r="B1155" t="str">
        <f t="shared" si="61"/>
        <v>102</v>
      </c>
      <c r="C1155" t="str">
        <f t="shared" ref="C1155:C1179" si="64">"47"</f>
        <v>47</v>
      </c>
      <c r="D1155" t="str">
        <f>"22"</f>
        <v>22</v>
      </c>
      <c r="E1155" t="str">
        <f>"102-47-22"</f>
        <v>102-47-22</v>
      </c>
      <c r="F1155" t="s">
        <v>27</v>
      </c>
      <c r="G1155" t="s">
        <v>28</v>
      </c>
      <c r="H1155">
        <v>1</v>
      </c>
      <c r="Q1155">
        <v>1</v>
      </c>
      <c r="R1155">
        <v>0</v>
      </c>
      <c r="S1155">
        <v>1</v>
      </c>
      <c r="T1155">
        <v>0</v>
      </c>
      <c r="U1155">
        <v>1</v>
      </c>
      <c r="V1155">
        <v>0</v>
      </c>
    </row>
    <row r="1156" spans="1:26" x14ac:dyDescent="0.25">
      <c r="A1156" t="str">
        <f>"1152"</f>
        <v>1152</v>
      </c>
      <c r="B1156" t="str">
        <f t="shared" si="61"/>
        <v>102</v>
      </c>
      <c r="C1156" t="str">
        <f t="shared" si="64"/>
        <v>47</v>
      </c>
      <c r="D1156" t="str">
        <f>"11"</f>
        <v>11</v>
      </c>
      <c r="E1156" t="str">
        <f>"102-47-11"</f>
        <v>102-47-11</v>
      </c>
      <c r="F1156" t="s">
        <v>27</v>
      </c>
      <c r="G1156" t="s">
        <v>28</v>
      </c>
      <c r="H1156">
        <v>1</v>
      </c>
      <c r="Q1156">
        <v>0</v>
      </c>
      <c r="R1156">
        <v>1</v>
      </c>
      <c r="S1156">
        <v>0</v>
      </c>
      <c r="T1156">
        <v>1</v>
      </c>
      <c r="U1156">
        <v>0</v>
      </c>
      <c r="V1156">
        <v>1</v>
      </c>
    </row>
    <row r="1157" spans="1:26" x14ac:dyDescent="0.25">
      <c r="A1157" t="str">
        <f>"1153"</f>
        <v>1153</v>
      </c>
      <c r="B1157" t="str">
        <f t="shared" ref="B1157:B1220" si="65">"102"</f>
        <v>102</v>
      </c>
      <c r="C1157" t="str">
        <f t="shared" si="64"/>
        <v>47</v>
      </c>
      <c r="D1157" t="str">
        <f>"1"</f>
        <v>1</v>
      </c>
      <c r="E1157" t="str">
        <f>"102-47-1"</f>
        <v>102-47-1</v>
      </c>
      <c r="F1157" t="s">
        <v>27</v>
      </c>
      <c r="G1157" t="s">
        <v>28</v>
      </c>
      <c r="H1157">
        <v>1</v>
      </c>
      <c r="Q1157">
        <v>0</v>
      </c>
      <c r="R1157">
        <v>1</v>
      </c>
      <c r="S1157">
        <v>0</v>
      </c>
      <c r="T1157">
        <v>1</v>
      </c>
      <c r="U1157">
        <v>0</v>
      </c>
      <c r="V1157">
        <v>1</v>
      </c>
    </row>
    <row r="1158" spans="1:26" x14ac:dyDescent="0.25">
      <c r="A1158" t="str">
        <f>"1154"</f>
        <v>1154</v>
      </c>
      <c r="B1158" t="str">
        <f t="shared" si="65"/>
        <v>102</v>
      </c>
      <c r="C1158" t="str">
        <f t="shared" si="64"/>
        <v>47</v>
      </c>
      <c r="D1158" t="str">
        <f>"24"</f>
        <v>24</v>
      </c>
      <c r="E1158" t="str">
        <f>"102-47-24"</f>
        <v>102-47-24</v>
      </c>
      <c r="F1158" t="s">
        <v>27</v>
      </c>
      <c r="G1158" t="s">
        <v>28</v>
      </c>
      <c r="H1158">
        <v>1</v>
      </c>
      <c r="Q1158">
        <v>0</v>
      </c>
      <c r="R1158">
        <v>1</v>
      </c>
      <c r="S1158">
        <v>0</v>
      </c>
      <c r="T1158">
        <v>1</v>
      </c>
      <c r="U1158">
        <v>0</v>
      </c>
      <c r="V1158">
        <v>1</v>
      </c>
    </row>
    <row r="1159" spans="1:26" x14ac:dyDescent="0.25">
      <c r="A1159" t="str">
        <f>"1155"</f>
        <v>1155</v>
      </c>
      <c r="B1159" t="str">
        <f t="shared" si="65"/>
        <v>102</v>
      </c>
      <c r="C1159" t="str">
        <f t="shared" si="64"/>
        <v>47</v>
      </c>
      <c r="D1159" t="str">
        <f>"12"</f>
        <v>12</v>
      </c>
      <c r="E1159" t="str">
        <f>"102-47-12"</f>
        <v>102-47-12</v>
      </c>
      <c r="F1159" t="s">
        <v>27</v>
      </c>
      <c r="G1159" t="s">
        <v>28</v>
      </c>
      <c r="H1159">
        <v>1</v>
      </c>
      <c r="Q1159">
        <v>1</v>
      </c>
      <c r="R1159">
        <v>0</v>
      </c>
      <c r="S1159">
        <v>0</v>
      </c>
      <c r="T1159">
        <v>1</v>
      </c>
      <c r="U1159">
        <v>1</v>
      </c>
      <c r="V1159">
        <v>0</v>
      </c>
    </row>
    <row r="1160" spans="1:26" x14ac:dyDescent="0.25">
      <c r="A1160" t="str">
        <f>"1156"</f>
        <v>1156</v>
      </c>
      <c r="B1160" t="str">
        <f t="shared" si="65"/>
        <v>102</v>
      </c>
      <c r="C1160" t="str">
        <f t="shared" si="64"/>
        <v>47</v>
      </c>
      <c r="D1160" t="str">
        <f>"4"</f>
        <v>4</v>
      </c>
      <c r="E1160" t="str">
        <f>"102-47-4"</f>
        <v>102-47-4</v>
      </c>
      <c r="F1160" t="s">
        <v>27</v>
      </c>
      <c r="G1160" t="s">
        <v>28</v>
      </c>
      <c r="H1160">
        <v>1</v>
      </c>
      <c r="Q1160">
        <v>0</v>
      </c>
      <c r="R1160">
        <v>1</v>
      </c>
      <c r="S1160">
        <v>0</v>
      </c>
      <c r="T1160">
        <v>1</v>
      </c>
      <c r="U1160">
        <v>0</v>
      </c>
      <c r="V1160">
        <v>1</v>
      </c>
    </row>
    <row r="1161" spans="1:26" x14ac:dyDescent="0.25">
      <c r="A1161" t="str">
        <f>"1157"</f>
        <v>1157</v>
      </c>
      <c r="B1161" t="str">
        <f t="shared" si="65"/>
        <v>102</v>
      </c>
      <c r="C1161" t="str">
        <f t="shared" si="64"/>
        <v>47</v>
      </c>
      <c r="D1161" t="str">
        <f>"13"</f>
        <v>13</v>
      </c>
      <c r="E1161" t="str">
        <f>"102-47-13"</f>
        <v>102-47-13</v>
      </c>
      <c r="F1161" t="s">
        <v>27</v>
      </c>
      <c r="G1161" t="s">
        <v>28</v>
      </c>
      <c r="H1161">
        <v>1</v>
      </c>
      <c r="Q1161">
        <v>0</v>
      </c>
      <c r="R1161">
        <v>1</v>
      </c>
      <c r="S1161">
        <v>0</v>
      </c>
      <c r="T1161">
        <v>1</v>
      </c>
      <c r="U1161">
        <v>0</v>
      </c>
      <c r="V1161">
        <v>0</v>
      </c>
    </row>
    <row r="1162" spans="1:26" x14ac:dyDescent="0.25">
      <c r="A1162" t="str">
        <f>"1158"</f>
        <v>1158</v>
      </c>
      <c r="B1162" t="str">
        <f t="shared" si="65"/>
        <v>102</v>
      </c>
      <c r="C1162" t="str">
        <f t="shared" si="64"/>
        <v>47</v>
      </c>
      <c r="D1162" t="str">
        <f>"2"</f>
        <v>2</v>
      </c>
      <c r="E1162" t="str">
        <f>"102-47-2"</f>
        <v>102-47-2</v>
      </c>
      <c r="F1162" t="s">
        <v>27</v>
      </c>
      <c r="G1162" t="s">
        <v>28</v>
      </c>
      <c r="H1162">
        <v>1</v>
      </c>
      <c r="Q1162">
        <v>1</v>
      </c>
      <c r="R1162">
        <v>0</v>
      </c>
      <c r="S1162">
        <v>1</v>
      </c>
      <c r="T1162">
        <v>0</v>
      </c>
      <c r="U1162">
        <v>0</v>
      </c>
      <c r="V1162">
        <v>1</v>
      </c>
    </row>
    <row r="1163" spans="1:26" x14ac:dyDescent="0.25">
      <c r="A1163" t="str">
        <f>"1159"</f>
        <v>1159</v>
      </c>
      <c r="B1163" t="str">
        <f t="shared" si="65"/>
        <v>102</v>
      </c>
      <c r="C1163" t="str">
        <f t="shared" si="64"/>
        <v>47</v>
      </c>
      <c r="D1163" t="str">
        <f>"14"</f>
        <v>14</v>
      </c>
      <c r="E1163" t="str">
        <f>"102-47-14"</f>
        <v>102-47-14</v>
      </c>
      <c r="F1163" t="s">
        <v>27</v>
      </c>
      <c r="G1163" t="s">
        <v>28</v>
      </c>
      <c r="H1163">
        <v>1</v>
      </c>
      <c r="Q1163">
        <v>0</v>
      </c>
      <c r="R1163">
        <v>1</v>
      </c>
      <c r="S1163">
        <v>1</v>
      </c>
      <c r="T1163">
        <v>0</v>
      </c>
      <c r="U1163">
        <v>1</v>
      </c>
      <c r="V1163">
        <v>0</v>
      </c>
    </row>
    <row r="1164" spans="1:26" x14ac:dyDescent="0.25">
      <c r="A1164" t="str">
        <f>"1160"</f>
        <v>1160</v>
      </c>
      <c r="B1164" t="str">
        <f t="shared" si="65"/>
        <v>102</v>
      </c>
      <c r="C1164" t="str">
        <f t="shared" si="64"/>
        <v>47</v>
      </c>
      <c r="D1164" t="str">
        <f>"5"</f>
        <v>5</v>
      </c>
      <c r="E1164" t="str">
        <f>"102-47-5"</f>
        <v>102-47-5</v>
      </c>
      <c r="F1164" t="s">
        <v>27</v>
      </c>
      <c r="G1164" t="s">
        <v>28</v>
      </c>
      <c r="H1164">
        <v>1</v>
      </c>
      <c r="Q1164">
        <v>1</v>
      </c>
      <c r="R1164">
        <v>0</v>
      </c>
      <c r="S1164">
        <v>1</v>
      </c>
      <c r="T1164">
        <v>0</v>
      </c>
      <c r="U1164">
        <v>1</v>
      </c>
      <c r="V1164">
        <v>0</v>
      </c>
    </row>
    <row r="1165" spans="1:26" x14ac:dyDescent="0.25">
      <c r="A1165" t="str">
        <f>"1161"</f>
        <v>1161</v>
      </c>
      <c r="B1165" t="str">
        <f t="shared" si="65"/>
        <v>102</v>
      </c>
      <c r="C1165" t="str">
        <f t="shared" si="64"/>
        <v>47</v>
      </c>
      <c r="D1165" t="str">
        <f>"21"</f>
        <v>21</v>
      </c>
      <c r="E1165" t="str">
        <f>"102-47-21"</f>
        <v>102-47-21</v>
      </c>
      <c r="F1165" t="s">
        <v>27</v>
      </c>
      <c r="G1165" t="s">
        <v>30</v>
      </c>
      <c r="H1165">
        <v>2</v>
      </c>
      <c r="I1165">
        <v>0</v>
      </c>
      <c r="J1165">
        <v>0</v>
      </c>
      <c r="K1165">
        <v>0</v>
      </c>
      <c r="L1165">
        <v>1</v>
      </c>
      <c r="Q1165">
        <v>0</v>
      </c>
      <c r="R1165">
        <v>1</v>
      </c>
      <c r="S1165">
        <v>0</v>
      </c>
      <c r="T1165">
        <v>1</v>
      </c>
      <c r="U1165">
        <v>0</v>
      </c>
      <c r="V1165">
        <v>1</v>
      </c>
      <c r="W1165">
        <v>0</v>
      </c>
      <c r="X1165">
        <v>1</v>
      </c>
    </row>
    <row r="1166" spans="1:26" x14ac:dyDescent="0.25">
      <c r="A1166" t="str">
        <f>"1162"</f>
        <v>1162</v>
      </c>
      <c r="B1166" t="str">
        <f t="shared" si="65"/>
        <v>102</v>
      </c>
      <c r="C1166" t="str">
        <f t="shared" si="64"/>
        <v>47</v>
      </c>
      <c r="D1166" t="str">
        <f>"15"</f>
        <v>15</v>
      </c>
      <c r="E1166" t="str">
        <f>"102-47-15"</f>
        <v>102-47-15</v>
      </c>
      <c r="F1166" t="s">
        <v>27</v>
      </c>
      <c r="G1166" t="s">
        <v>28</v>
      </c>
      <c r="H1166">
        <v>1</v>
      </c>
      <c r="Q1166">
        <v>1</v>
      </c>
      <c r="R1166">
        <v>0</v>
      </c>
      <c r="S1166">
        <v>1</v>
      </c>
      <c r="T1166">
        <v>0</v>
      </c>
      <c r="U1166">
        <v>0</v>
      </c>
      <c r="V1166">
        <v>1</v>
      </c>
    </row>
    <row r="1167" spans="1:26" x14ac:dyDescent="0.25">
      <c r="A1167" t="str">
        <f>"1163"</f>
        <v>1163</v>
      </c>
      <c r="B1167" t="str">
        <f t="shared" si="65"/>
        <v>102</v>
      </c>
      <c r="C1167" t="str">
        <f t="shared" si="64"/>
        <v>47</v>
      </c>
      <c r="D1167" t="str">
        <f>"10"</f>
        <v>10</v>
      </c>
      <c r="E1167" t="str">
        <f>"102-47-10"</f>
        <v>102-47-10</v>
      </c>
      <c r="F1167" t="s">
        <v>27</v>
      </c>
      <c r="G1167" t="s">
        <v>28</v>
      </c>
      <c r="H1167">
        <v>1</v>
      </c>
      <c r="Q1167">
        <v>1</v>
      </c>
      <c r="R1167">
        <v>0</v>
      </c>
      <c r="S1167">
        <v>1</v>
      </c>
      <c r="T1167">
        <v>0</v>
      </c>
      <c r="U1167">
        <v>0</v>
      </c>
      <c r="V1167">
        <v>1</v>
      </c>
    </row>
    <row r="1168" spans="1:26" x14ac:dyDescent="0.25">
      <c r="A1168" t="str">
        <f>"1164"</f>
        <v>1164</v>
      </c>
      <c r="B1168" t="str">
        <f t="shared" si="65"/>
        <v>102</v>
      </c>
      <c r="C1168" t="str">
        <f t="shared" si="64"/>
        <v>47</v>
      </c>
      <c r="D1168" t="str">
        <f>"16"</f>
        <v>16</v>
      </c>
      <c r="E1168" t="str">
        <f>"102-47-16"</f>
        <v>102-47-16</v>
      </c>
      <c r="F1168" t="s">
        <v>27</v>
      </c>
      <c r="G1168" t="s">
        <v>29</v>
      </c>
      <c r="H1168">
        <v>3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1</v>
      </c>
      <c r="S1168">
        <v>0</v>
      </c>
      <c r="T1168">
        <v>1</v>
      </c>
      <c r="U1168">
        <v>0</v>
      </c>
      <c r="V1168">
        <v>1</v>
      </c>
      <c r="Y1168">
        <v>0</v>
      </c>
      <c r="Z1168">
        <v>1</v>
      </c>
    </row>
    <row r="1169" spans="1:22" x14ac:dyDescent="0.25">
      <c r="A1169" t="str">
        <f>"1165"</f>
        <v>1165</v>
      </c>
      <c r="B1169" t="str">
        <f t="shared" si="65"/>
        <v>102</v>
      </c>
      <c r="C1169" t="str">
        <f t="shared" si="64"/>
        <v>47</v>
      </c>
      <c r="D1169" t="str">
        <f>"3"</f>
        <v>3</v>
      </c>
      <c r="E1169" t="str">
        <f>"102-47-3"</f>
        <v>102-47-3</v>
      </c>
      <c r="F1169" t="s">
        <v>27</v>
      </c>
      <c r="G1169" t="s">
        <v>28</v>
      </c>
      <c r="H1169">
        <v>1</v>
      </c>
      <c r="Q1169">
        <v>0</v>
      </c>
      <c r="R1169">
        <v>1</v>
      </c>
      <c r="S1169">
        <v>0</v>
      </c>
      <c r="T1169">
        <v>1</v>
      </c>
      <c r="U1169">
        <v>0</v>
      </c>
      <c r="V1169">
        <v>1</v>
      </c>
    </row>
    <row r="1170" spans="1:22" x14ac:dyDescent="0.25">
      <c r="A1170" t="str">
        <f>"1166"</f>
        <v>1166</v>
      </c>
      <c r="B1170" t="str">
        <f t="shared" si="65"/>
        <v>102</v>
      </c>
      <c r="C1170" t="str">
        <f t="shared" si="64"/>
        <v>47</v>
      </c>
      <c r="D1170" t="str">
        <f>"25"</f>
        <v>25</v>
      </c>
      <c r="E1170" t="str">
        <f>"102-47-25"</f>
        <v>102-47-25</v>
      </c>
      <c r="F1170" t="s">
        <v>27</v>
      </c>
      <c r="G1170" t="s">
        <v>28</v>
      </c>
      <c r="H1170">
        <v>1</v>
      </c>
      <c r="Q1170">
        <v>0</v>
      </c>
      <c r="R1170">
        <v>1</v>
      </c>
      <c r="S1170">
        <v>0</v>
      </c>
      <c r="T1170">
        <v>1</v>
      </c>
      <c r="U1170">
        <v>1</v>
      </c>
      <c r="V1170">
        <v>0</v>
      </c>
    </row>
    <row r="1171" spans="1:22" x14ac:dyDescent="0.25">
      <c r="A1171" t="str">
        <f>"1167"</f>
        <v>1167</v>
      </c>
      <c r="B1171" t="str">
        <f t="shared" si="65"/>
        <v>102</v>
      </c>
      <c r="C1171" t="str">
        <f t="shared" si="64"/>
        <v>47</v>
      </c>
      <c r="D1171" t="str">
        <f>"17"</f>
        <v>17</v>
      </c>
      <c r="E1171" t="str">
        <f>"102-47-17"</f>
        <v>102-47-17</v>
      </c>
      <c r="F1171" t="s">
        <v>27</v>
      </c>
      <c r="G1171" t="s">
        <v>28</v>
      </c>
      <c r="H1171">
        <v>1</v>
      </c>
      <c r="Q1171">
        <v>1</v>
      </c>
      <c r="R1171">
        <v>0</v>
      </c>
      <c r="S1171">
        <v>1</v>
      </c>
      <c r="T1171">
        <v>0</v>
      </c>
      <c r="U1171">
        <v>0</v>
      </c>
      <c r="V1171">
        <v>1</v>
      </c>
    </row>
    <row r="1172" spans="1:22" x14ac:dyDescent="0.25">
      <c r="A1172" t="str">
        <f>"1168"</f>
        <v>1168</v>
      </c>
      <c r="B1172" t="str">
        <f t="shared" si="65"/>
        <v>102</v>
      </c>
      <c r="C1172" t="str">
        <f t="shared" si="64"/>
        <v>47</v>
      </c>
      <c r="D1172" t="str">
        <f>"9"</f>
        <v>9</v>
      </c>
      <c r="E1172" t="str">
        <f>"102-47-9"</f>
        <v>102-47-9</v>
      </c>
      <c r="F1172" t="s">
        <v>27</v>
      </c>
      <c r="G1172" t="s">
        <v>28</v>
      </c>
      <c r="H1172">
        <v>1</v>
      </c>
      <c r="Q1172">
        <v>1</v>
      </c>
      <c r="R1172">
        <v>0</v>
      </c>
      <c r="S1172">
        <v>1</v>
      </c>
      <c r="T1172">
        <v>0</v>
      </c>
      <c r="U1172">
        <v>0</v>
      </c>
      <c r="V1172">
        <v>1</v>
      </c>
    </row>
    <row r="1173" spans="1:22" x14ac:dyDescent="0.25">
      <c r="A1173" t="str">
        <f>"1169"</f>
        <v>1169</v>
      </c>
      <c r="B1173" t="str">
        <f t="shared" si="65"/>
        <v>102</v>
      </c>
      <c r="C1173" t="str">
        <f t="shared" si="64"/>
        <v>47</v>
      </c>
      <c r="D1173" t="str">
        <f>"23"</f>
        <v>23</v>
      </c>
      <c r="E1173" t="str">
        <f>"102-47-23"</f>
        <v>102-47-23</v>
      </c>
      <c r="F1173" t="s">
        <v>27</v>
      </c>
      <c r="G1173" t="s">
        <v>28</v>
      </c>
      <c r="H1173">
        <v>1</v>
      </c>
      <c r="Q1173">
        <v>0</v>
      </c>
      <c r="R1173">
        <v>1</v>
      </c>
      <c r="S1173">
        <v>0</v>
      </c>
      <c r="T1173">
        <v>1</v>
      </c>
      <c r="U1173">
        <v>0</v>
      </c>
      <c r="V1173">
        <v>1</v>
      </c>
    </row>
    <row r="1174" spans="1:22" x14ac:dyDescent="0.25">
      <c r="A1174" t="str">
        <f>"1170"</f>
        <v>1170</v>
      </c>
      <c r="B1174" t="str">
        <f t="shared" si="65"/>
        <v>102</v>
      </c>
      <c r="C1174" t="str">
        <f t="shared" si="64"/>
        <v>47</v>
      </c>
      <c r="D1174" t="str">
        <f>"18"</f>
        <v>18</v>
      </c>
      <c r="E1174" t="str">
        <f>"102-47-18"</f>
        <v>102-47-18</v>
      </c>
      <c r="F1174" t="s">
        <v>27</v>
      </c>
      <c r="G1174" t="s">
        <v>28</v>
      </c>
      <c r="H1174">
        <v>1</v>
      </c>
      <c r="Q1174">
        <v>0</v>
      </c>
      <c r="R1174">
        <v>1</v>
      </c>
      <c r="S1174">
        <v>0</v>
      </c>
      <c r="T1174">
        <v>1</v>
      </c>
      <c r="U1174">
        <v>0</v>
      </c>
      <c r="V1174">
        <v>1</v>
      </c>
    </row>
    <row r="1175" spans="1:22" x14ac:dyDescent="0.25">
      <c r="A1175" t="str">
        <f>"1171"</f>
        <v>1171</v>
      </c>
      <c r="B1175" t="str">
        <f t="shared" si="65"/>
        <v>102</v>
      </c>
      <c r="C1175" t="str">
        <f t="shared" si="64"/>
        <v>47</v>
      </c>
      <c r="D1175" t="str">
        <f>"8"</f>
        <v>8</v>
      </c>
      <c r="E1175" t="str">
        <f>"102-47-8"</f>
        <v>102-47-8</v>
      </c>
      <c r="F1175" t="s">
        <v>27</v>
      </c>
      <c r="G1175" t="s">
        <v>28</v>
      </c>
      <c r="H1175">
        <v>1</v>
      </c>
      <c r="Q1175">
        <v>0</v>
      </c>
      <c r="R1175">
        <v>1</v>
      </c>
      <c r="S1175">
        <v>0</v>
      </c>
      <c r="T1175">
        <v>1</v>
      </c>
      <c r="U1175">
        <v>0</v>
      </c>
      <c r="V1175">
        <v>1</v>
      </c>
    </row>
    <row r="1176" spans="1:22" x14ac:dyDescent="0.25">
      <c r="A1176" t="str">
        <f>"1172"</f>
        <v>1172</v>
      </c>
      <c r="B1176" t="str">
        <f t="shared" si="65"/>
        <v>102</v>
      </c>
      <c r="C1176" t="str">
        <f t="shared" si="64"/>
        <v>47</v>
      </c>
      <c r="D1176" t="str">
        <f>"19"</f>
        <v>19</v>
      </c>
      <c r="E1176" t="str">
        <f>"102-47-19"</f>
        <v>102-47-19</v>
      </c>
      <c r="F1176" t="s">
        <v>27</v>
      </c>
      <c r="G1176" t="s">
        <v>28</v>
      </c>
      <c r="H1176">
        <v>1</v>
      </c>
      <c r="Q1176">
        <v>0</v>
      </c>
      <c r="R1176">
        <v>1</v>
      </c>
      <c r="S1176">
        <v>0</v>
      </c>
      <c r="T1176">
        <v>1</v>
      </c>
      <c r="U1176">
        <v>0</v>
      </c>
      <c r="V1176">
        <v>1</v>
      </c>
    </row>
    <row r="1177" spans="1:22" x14ac:dyDescent="0.25">
      <c r="A1177" t="str">
        <f>"1173"</f>
        <v>1173</v>
      </c>
      <c r="B1177" t="str">
        <f t="shared" si="65"/>
        <v>102</v>
      </c>
      <c r="C1177" t="str">
        <f t="shared" si="64"/>
        <v>47</v>
      </c>
      <c r="D1177" t="str">
        <f>"6"</f>
        <v>6</v>
      </c>
      <c r="E1177" t="str">
        <f>"102-47-6"</f>
        <v>102-47-6</v>
      </c>
      <c r="F1177" t="s">
        <v>27</v>
      </c>
      <c r="G1177" t="s">
        <v>28</v>
      </c>
      <c r="H1177">
        <v>1</v>
      </c>
      <c r="Q1177">
        <v>0</v>
      </c>
      <c r="R1177">
        <v>1</v>
      </c>
      <c r="S1177">
        <v>0</v>
      </c>
      <c r="T1177">
        <v>1</v>
      </c>
      <c r="U1177">
        <v>0</v>
      </c>
      <c r="V1177">
        <v>1</v>
      </c>
    </row>
    <row r="1178" spans="1:22" x14ac:dyDescent="0.25">
      <c r="A1178" t="str">
        <f>"1174"</f>
        <v>1174</v>
      </c>
      <c r="B1178" t="str">
        <f t="shared" si="65"/>
        <v>102</v>
      </c>
      <c r="C1178" t="str">
        <f t="shared" si="64"/>
        <v>47</v>
      </c>
      <c r="D1178" t="str">
        <f>"20"</f>
        <v>20</v>
      </c>
      <c r="E1178" t="str">
        <f>"102-47-20"</f>
        <v>102-47-20</v>
      </c>
      <c r="F1178" t="s">
        <v>27</v>
      </c>
      <c r="G1178" t="s">
        <v>28</v>
      </c>
      <c r="H1178">
        <v>1</v>
      </c>
      <c r="Q1178">
        <v>0</v>
      </c>
      <c r="R1178">
        <v>1</v>
      </c>
      <c r="S1178">
        <v>0</v>
      </c>
      <c r="T1178">
        <v>1</v>
      </c>
      <c r="U1178">
        <v>0</v>
      </c>
      <c r="V1178">
        <v>1</v>
      </c>
    </row>
    <row r="1179" spans="1:22" x14ac:dyDescent="0.25">
      <c r="A1179" t="str">
        <f>"1175"</f>
        <v>1175</v>
      </c>
      <c r="B1179" t="str">
        <f t="shared" si="65"/>
        <v>102</v>
      </c>
      <c r="C1179" t="str">
        <f t="shared" si="64"/>
        <v>47</v>
      </c>
      <c r="D1179" t="str">
        <f>"7"</f>
        <v>7</v>
      </c>
      <c r="E1179" t="str">
        <f>"102-47-7"</f>
        <v>102-47-7</v>
      </c>
      <c r="F1179" t="s">
        <v>27</v>
      </c>
      <c r="G1179" t="s">
        <v>28</v>
      </c>
      <c r="H1179">
        <v>1</v>
      </c>
      <c r="Q1179">
        <v>0</v>
      </c>
      <c r="R1179">
        <v>1</v>
      </c>
      <c r="S1179">
        <v>0</v>
      </c>
      <c r="T1179">
        <v>1</v>
      </c>
      <c r="U1179">
        <v>0</v>
      </c>
      <c r="V1179">
        <v>0</v>
      </c>
    </row>
    <row r="1180" spans="1:22" x14ac:dyDescent="0.25">
      <c r="A1180" t="str">
        <f>"1176"</f>
        <v>1176</v>
      </c>
      <c r="B1180" t="str">
        <f t="shared" si="65"/>
        <v>102</v>
      </c>
      <c r="C1180" t="str">
        <f t="shared" ref="C1180:C1204" si="66">"48"</f>
        <v>48</v>
      </c>
      <c r="D1180" t="str">
        <f>"11"</f>
        <v>11</v>
      </c>
      <c r="E1180" t="str">
        <f>"102-48-11"</f>
        <v>102-48-11</v>
      </c>
      <c r="F1180" t="s">
        <v>27</v>
      </c>
      <c r="G1180" t="s">
        <v>28</v>
      </c>
      <c r="H1180">
        <v>1</v>
      </c>
      <c r="Q1180">
        <v>0</v>
      </c>
      <c r="R1180">
        <v>1</v>
      </c>
      <c r="S1180">
        <v>0</v>
      </c>
      <c r="T1180">
        <v>1</v>
      </c>
      <c r="U1180">
        <v>0</v>
      </c>
      <c r="V1180">
        <v>1</v>
      </c>
    </row>
    <row r="1181" spans="1:22" x14ac:dyDescent="0.25">
      <c r="A1181" t="str">
        <f>"1177"</f>
        <v>1177</v>
      </c>
      <c r="B1181" t="str">
        <f t="shared" si="65"/>
        <v>102</v>
      </c>
      <c r="C1181" t="str">
        <f t="shared" si="66"/>
        <v>48</v>
      </c>
      <c r="D1181" t="str">
        <f>"4"</f>
        <v>4</v>
      </c>
      <c r="E1181" t="str">
        <f>"102-48-4"</f>
        <v>102-48-4</v>
      </c>
      <c r="F1181" t="s">
        <v>27</v>
      </c>
      <c r="G1181" t="s">
        <v>28</v>
      </c>
      <c r="H1181">
        <v>1</v>
      </c>
      <c r="Q1181">
        <v>0</v>
      </c>
      <c r="R1181">
        <v>1</v>
      </c>
      <c r="S1181">
        <v>0</v>
      </c>
      <c r="T1181">
        <v>1</v>
      </c>
      <c r="U1181">
        <v>0</v>
      </c>
      <c r="V1181">
        <v>1</v>
      </c>
    </row>
    <row r="1182" spans="1:22" x14ac:dyDescent="0.25">
      <c r="A1182" t="str">
        <f>"1178"</f>
        <v>1178</v>
      </c>
      <c r="B1182" t="str">
        <f t="shared" si="65"/>
        <v>102</v>
      </c>
      <c r="C1182" t="str">
        <f t="shared" si="66"/>
        <v>48</v>
      </c>
      <c r="D1182" t="str">
        <f>"22"</f>
        <v>22</v>
      </c>
      <c r="E1182" t="str">
        <f>"102-48-22"</f>
        <v>102-48-22</v>
      </c>
      <c r="F1182" t="s">
        <v>27</v>
      </c>
      <c r="G1182" t="s">
        <v>28</v>
      </c>
      <c r="H1182">
        <v>1</v>
      </c>
      <c r="Q1182">
        <v>1</v>
      </c>
      <c r="R1182">
        <v>0</v>
      </c>
      <c r="S1182">
        <v>1</v>
      </c>
      <c r="T1182">
        <v>0</v>
      </c>
      <c r="U1182">
        <v>1</v>
      </c>
      <c r="V1182">
        <v>0</v>
      </c>
    </row>
    <row r="1183" spans="1:22" x14ac:dyDescent="0.25">
      <c r="A1183" t="str">
        <f>"1179"</f>
        <v>1179</v>
      </c>
      <c r="B1183" t="str">
        <f t="shared" si="65"/>
        <v>102</v>
      </c>
      <c r="C1183" t="str">
        <f t="shared" si="66"/>
        <v>48</v>
      </c>
      <c r="D1183" t="str">
        <f>"12"</f>
        <v>12</v>
      </c>
      <c r="E1183" t="str">
        <f>"102-48-12"</f>
        <v>102-48-12</v>
      </c>
      <c r="F1183" t="s">
        <v>27</v>
      </c>
      <c r="G1183" t="s">
        <v>28</v>
      </c>
      <c r="H1183">
        <v>1</v>
      </c>
      <c r="Q1183">
        <v>0</v>
      </c>
      <c r="R1183">
        <v>1</v>
      </c>
      <c r="S1183">
        <v>0</v>
      </c>
      <c r="T1183">
        <v>1</v>
      </c>
      <c r="U1183">
        <v>0</v>
      </c>
      <c r="V1183">
        <v>1</v>
      </c>
    </row>
    <row r="1184" spans="1:22" x14ac:dyDescent="0.25">
      <c r="A1184" t="str">
        <f>"1180"</f>
        <v>1180</v>
      </c>
      <c r="B1184" t="str">
        <f t="shared" si="65"/>
        <v>102</v>
      </c>
      <c r="C1184" t="str">
        <f t="shared" si="66"/>
        <v>48</v>
      </c>
      <c r="D1184" t="str">
        <f>"10"</f>
        <v>10</v>
      </c>
      <c r="E1184" t="str">
        <f>"102-48-10"</f>
        <v>102-48-10</v>
      </c>
      <c r="F1184" t="s">
        <v>27</v>
      </c>
      <c r="G1184" t="s">
        <v>28</v>
      </c>
      <c r="H1184">
        <v>1</v>
      </c>
      <c r="Q1184">
        <v>1</v>
      </c>
      <c r="R1184">
        <v>0</v>
      </c>
      <c r="S1184">
        <v>0</v>
      </c>
      <c r="T1184">
        <v>1</v>
      </c>
      <c r="U1184">
        <v>0</v>
      </c>
      <c r="V1184">
        <v>1</v>
      </c>
    </row>
    <row r="1185" spans="1:22" x14ac:dyDescent="0.25">
      <c r="A1185" t="str">
        <f>"1181"</f>
        <v>1181</v>
      </c>
      <c r="B1185" t="str">
        <f t="shared" si="65"/>
        <v>102</v>
      </c>
      <c r="C1185" t="str">
        <f t="shared" si="66"/>
        <v>48</v>
      </c>
      <c r="D1185" t="str">
        <f>"13"</f>
        <v>13</v>
      </c>
      <c r="E1185" t="str">
        <f>"102-48-13"</f>
        <v>102-48-13</v>
      </c>
      <c r="F1185" t="s">
        <v>27</v>
      </c>
      <c r="G1185" t="s">
        <v>28</v>
      </c>
      <c r="H1185">
        <v>1</v>
      </c>
      <c r="Q1185">
        <v>0</v>
      </c>
      <c r="R1185">
        <v>1</v>
      </c>
      <c r="S1185">
        <v>0</v>
      </c>
      <c r="T1185">
        <v>1</v>
      </c>
      <c r="U1185">
        <v>1</v>
      </c>
      <c r="V1185">
        <v>0</v>
      </c>
    </row>
    <row r="1186" spans="1:22" x14ac:dyDescent="0.25">
      <c r="A1186" t="str">
        <f>"1182"</f>
        <v>1182</v>
      </c>
      <c r="B1186" t="str">
        <f t="shared" si="65"/>
        <v>102</v>
      </c>
      <c r="C1186" t="str">
        <f t="shared" si="66"/>
        <v>48</v>
      </c>
      <c r="D1186" t="str">
        <f>"2"</f>
        <v>2</v>
      </c>
      <c r="E1186" t="str">
        <f>"102-48-2"</f>
        <v>102-48-2</v>
      </c>
      <c r="F1186" t="s">
        <v>27</v>
      </c>
      <c r="G1186" t="s">
        <v>28</v>
      </c>
      <c r="H1186">
        <v>1</v>
      </c>
      <c r="Q1186">
        <v>1</v>
      </c>
      <c r="R1186">
        <v>0</v>
      </c>
      <c r="S1186">
        <v>1</v>
      </c>
      <c r="T1186">
        <v>0</v>
      </c>
      <c r="U1186">
        <v>1</v>
      </c>
      <c r="V1186">
        <v>0</v>
      </c>
    </row>
    <row r="1187" spans="1:22" x14ac:dyDescent="0.25">
      <c r="A1187" t="str">
        <f>"1183"</f>
        <v>1183</v>
      </c>
      <c r="B1187" t="str">
        <f t="shared" si="65"/>
        <v>102</v>
      </c>
      <c r="C1187" t="str">
        <f t="shared" si="66"/>
        <v>48</v>
      </c>
      <c r="D1187" t="str">
        <f>"21"</f>
        <v>21</v>
      </c>
      <c r="E1187" t="str">
        <f>"102-48-21"</f>
        <v>102-48-21</v>
      </c>
      <c r="F1187" t="s">
        <v>27</v>
      </c>
      <c r="G1187" t="s">
        <v>28</v>
      </c>
      <c r="H1187">
        <v>1</v>
      </c>
      <c r="Q1187">
        <v>0</v>
      </c>
      <c r="R1187">
        <v>1</v>
      </c>
      <c r="S1187">
        <v>0</v>
      </c>
      <c r="T1187">
        <v>1</v>
      </c>
      <c r="U1187">
        <v>1</v>
      </c>
      <c r="V1187">
        <v>0</v>
      </c>
    </row>
    <row r="1188" spans="1:22" x14ac:dyDescent="0.25">
      <c r="A1188" t="str">
        <f>"1184"</f>
        <v>1184</v>
      </c>
      <c r="B1188" t="str">
        <f t="shared" si="65"/>
        <v>102</v>
      </c>
      <c r="C1188" t="str">
        <f t="shared" si="66"/>
        <v>48</v>
      </c>
      <c r="D1188" t="str">
        <f>"14"</f>
        <v>14</v>
      </c>
      <c r="E1188" t="str">
        <f>"102-48-14"</f>
        <v>102-48-14</v>
      </c>
      <c r="F1188" t="s">
        <v>27</v>
      </c>
      <c r="G1188" t="s">
        <v>28</v>
      </c>
      <c r="H1188">
        <v>1</v>
      </c>
      <c r="Q1188">
        <v>0</v>
      </c>
      <c r="R1188">
        <v>1</v>
      </c>
      <c r="S1188">
        <v>0</v>
      </c>
      <c r="T1188">
        <v>1</v>
      </c>
      <c r="U1188">
        <v>0</v>
      </c>
      <c r="V1188">
        <v>1</v>
      </c>
    </row>
    <row r="1189" spans="1:22" x14ac:dyDescent="0.25">
      <c r="A1189" t="str">
        <f>"1185"</f>
        <v>1185</v>
      </c>
      <c r="B1189" t="str">
        <f t="shared" si="65"/>
        <v>102</v>
      </c>
      <c r="C1189" t="str">
        <f t="shared" si="66"/>
        <v>48</v>
      </c>
      <c r="D1189" t="str">
        <f>"5"</f>
        <v>5</v>
      </c>
      <c r="E1189" t="str">
        <f>"102-48-5"</f>
        <v>102-48-5</v>
      </c>
      <c r="F1189" t="s">
        <v>27</v>
      </c>
      <c r="G1189" t="s">
        <v>28</v>
      </c>
      <c r="H1189">
        <v>1</v>
      </c>
      <c r="Q1189">
        <v>0</v>
      </c>
      <c r="R1189">
        <v>1</v>
      </c>
      <c r="S1189">
        <v>0</v>
      </c>
      <c r="T1189">
        <v>1</v>
      </c>
      <c r="U1189">
        <v>0</v>
      </c>
      <c r="V1189">
        <v>1</v>
      </c>
    </row>
    <row r="1190" spans="1:22" x14ac:dyDescent="0.25">
      <c r="A1190" t="str">
        <f>"1186"</f>
        <v>1186</v>
      </c>
      <c r="B1190" t="str">
        <f t="shared" si="65"/>
        <v>102</v>
      </c>
      <c r="C1190" t="str">
        <f t="shared" si="66"/>
        <v>48</v>
      </c>
      <c r="D1190" t="str">
        <f>"24"</f>
        <v>24</v>
      </c>
      <c r="E1190" t="str">
        <f>"102-48-24"</f>
        <v>102-48-24</v>
      </c>
      <c r="F1190" t="s">
        <v>27</v>
      </c>
      <c r="G1190" t="s">
        <v>28</v>
      </c>
      <c r="H1190">
        <v>1</v>
      </c>
      <c r="Q1190">
        <v>0</v>
      </c>
      <c r="R1190">
        <v>1</v>
      </c>
      <c r="S1190">
        <v>0</v>
      </c>
      <c r="T1190">
        <v>1</v>
      </c>
      <c r="U1190">
        <v>0</v>
      </c>
      <c r="V1190">
        <v>1</v>
      </c>
    </row>
    <row r="1191" spans="1:22" x14ac:dyDescent="0.25">
      <c r="A1191" t="str">
        <f>"1187"</f>
        <v>1187</v>
      </c>
      <c r="B1191" t="str">
        <f t="shared" si="65"/>
        <v>102</v>
      </c>
      <c r="C1191" t="str">
        <f t="shared" si="66"/>
        <v>48</v>
      </c>
      <c r="D1191" t="str">
        <f>"15"</f>
        <v>15</v>
      </c>
      <c r="E1191" t="str">
        <f>"102-48-15"</f>
        <v>102-48-15</v>
      </c>
      <c r="F1191" t="s">
        <v>27</v>
      </c>
      <c r="G1191" t="s">
        <v>28</v>
      </c>
      <c r="H1191">
        <v>1</v>
      </c>
      <c r="Q1191">
        <v>0</v>
      </c>
      <c r="R1191">
        <v>1</v>
      </c>
      <c r="S1191">
        <v>0</v>
      </c>
      <c r="T1191">
        <v>1</v>
      </c>
      <c r="U1191">
        <v>1</v>
      </c>
      <c r="V1191">
        <v>0</v>
      </c>
    </row>
    <row r="1192" spans="1:22" x14ac:dyDescent="0.25">
      <c r="A1192" t="str">
        <f>"1188"</f>
        <v>1188</v>
      </c>
      <c r="B1192" t="str">
        <f t="shared" si="65"/>
        <v>102</v>
      </c>
      <c r="C1192" t="str">
        <f t="shared" si="66"/>
        <v>48</v>
      </c>
      <c r="D1192" t="str">
        <f>"3"</f>
        <v>3</v>
      </c>
      <c r="E1192" t="str">
        <f>"102-48-3"</f>
        <v>102-48-3</v>
      </c>
      <c r="F1192" t="s">
        <v>27</v>
      </c>
      <c r="G1192" t="s">
        <v>28</v>
      </c>
      <c r="H1192">
        <v>1</v>
      </c>
      <c r="Q1192">
        <v>1</v>
      </c>
      <c r="R1192">
        <v>0</v>
      </c>
      <c r="S1192">
        <v>1</v>
      </c>
      <c r="T1192">
        <v>0</v>
      </c>
      <c r="U1192">
        <v>1</v>
      </c>
      <c r="V1192">
        <v>0</v>
      </c>
    </row>
    <row r="1193" spans="1:22" x14ac:dyDescent="0.25">
      <c r="A1193" t="str">
        <f>"1189"</f>
        <v>1189</v>
      </c>
      <c r="B1193" t="str">
        <f t="shared" si="65"/>
        <v>102</v>
      </c>
      <c r="C1193" t="str">
        <f t="shared" si="66"/>
        <v>48</v>
      </c>
      <c r="D1193" t="str">
        <f>"23"</f>
        <v>23</v>
      </c>
      <c r="E1193" t="str">
        <f>"102-48-23"</f>
        <v>102-48-23</v>
      </c>
      <c r="F1193" t="s">
        <v>27</v>
      </c>
      <c r="G1193" t="s">
        <v>28</v>
      </c>
      <c r="H1193">
        <v>1</v>
      </c>
      <c r="Q1193">
        <v>1</v>
      </c>
      <c r="R1193">
        <v>0</v>
      </c>
      <c r="S1193">
        <v>1</v>
      </c>
      <c r="T1193">
        <v>0</v>
      </c>
      <c r="U1193">
        <v>0</v>
      </c>
      <c r="V1193">
        <v>1</v>
      </c>
    </row>
    <row r="1194" spans="1:22" x14ac:dyDescent="0.25">
      <c r="A1194" t="str">
        <f>"1190"</f>
        <v>1190</v>
      </c>
      <c r="B1194" t="str">
        <f t="shared" si="65"/>
        <v>102</v>
      </c>
      <c r="C1194" t="str">
        <f t="shared" si="66"/>
        <v>48</v>
      </c>
      <c r="D1194" t="str">
        <f>"16"</f>
        <v>16</v>
      </c>
      <c r="E1194" t="str">
        <f>"102-48-16"</f>
        <v>102-48-16</v>
      </c>
      <c r="F1194" t="s">
        <v>27</v>
      </c>
      <c r="G1194" t="s">
        <v>28</v>
      </c>
      <c r="H1194">
        <v>1</v>
      </c>
      <c r="Q1194">
        <v>1</v>
      </c>
      <c r="R1194">
        <v>0</v>
      </c>
      <c r="S1194">
        <v>1</v>
      </c>
      <c r="T1194">
        <v>0</v>
      </c>
      <c r="U1194">
        <v>0</v>
      </c>
      <c r="V1194">
        <v>1</v>
      </c>
    </row>
    <row r="1195" spans="1:22" x14ac:dyDescent="0.25">
      <c r="A1195" t="str">
        <f>"1191"</f>
        <v>1191</v>
      </c>
      <c r="B1195" t="str">
        <f t="shared" si="65"/>
        <v>102</v>
      </c>
      <c r="C1195" t="str">
        <f t="shared" si="66"/>
        <v>48</v>
      </c>
      <c r="D1195" t="str">
        <f>"1"</f>
        <v>1</v>
      </c>
      <c r="E1195" t="str">
        <f>"102-48-1"</f>
        <v>102-48-1</v>
      </c>
      <c r="F1195" t="s">
        <v>27</v>
      </c>
      <c r="G1195" t="s">
        <v>28</v>
      </c>
      <c r="H1195">
        <v>1</v>
      </c>
      <c r="Q1195">
        <v>0</v>
      </c>
      <c r="R1195">
        <v>1</v>
      </c>
      <c r="S1195">
        <v>0</v>
      </c>
      <c r="T1195">
        <v>1</v>
      </c>
      <c r="U1195">
        <v>0</v>
      </c>
      <c r="V1195">
        <v>1</v>
      </c>
    </row>
    <row r="1196" spans="1:22" x14ac:dyDescent="0.25">
      <c r="A1196" t="str">
        <f>"1192"</f>
        <v>1192</v>
      </c>
      <c r="B1196" t="str">
        <f t="shared" si="65"/>
        <v>102</v>
      </c>
      <c r="C1196" t="str">
        <f t="shared" si="66"/>
        <v>48</v>
      </c>
      <c r="D1196" t="str">
        <f>"25"</f>
        <v>25</v>
      </c>
      <c r="E1196" t="str">
        <f>"102-48-25"</f>
        <v>102-48-25</v>
      </c>
      <c r="F1196" t="s">
        <v>27</v>
      </c>
      <c r="G1196" t="s">
        <v>28</v>
      </c>
      <c r="H1196">
        <v>1</v>
      </c>
      <c r="Q1196">
        <v>0</v>
      </c>
      <c r="R1196">
        <v>1</v>
      </c>
      <c r="S1196">
        <v>0</v>
      </c>
      <c r="T1196">
        <v>1</v>
      </c>
      <c r="U1196">
        <v>1</v>
      </c>
      <c r="V1196">
        <v>0</v>
      </c>
    </row>
    <row r="1197" spans="1:22" x14ac:dyDescent="0.25">
      <c r="A1197" t="str">
        <f>"1193"</f>
        <v>1193</v>
      </c>
      <c r="B1197" t="str">
        <f t="shared" si="65"/>
        <v>102</v>
      </c>
      <c r="C1197" t="str">
        <f t="shared" si="66"/>
        <v>48</v>
      </c>
      <c r="D1197" t="str">
        <f>"17"</f>
        <v>17</v>
      </c>
      <c r="E1197" t="str">
        <f>"102-48-17"</f>
        <v>102-48-17</v>
      </c>
      <c r="F1197" t="s">
        <v>27</v>
      </c>
      <c r="G1197" t="s">
        <v>28</v>
      </c>
      <c r="H1197">
        <v>1</v>
      </c>
      <c r="Q1197">
        <v>0</v>
      </c>
      <c r="R1197">
        <v>1</v>
      </c>
      <c r="S1197">
        <v>0</v>
      </c>
      <c r="T1197">
        <v>1</v>
      </c>
      <c r="U1197">
        <v>1</v>
      </c>
      <c r="V1197">
        <v>0</v>
      </c>
    </row>
    <row r="1198" spans="1:22" x14ac:dyDescent="0.25">
      <c r="A1198" t="str">
        <f>"1194"</f>
        <v>1194</v>
      </c>
      <c r="B1198" t="str">
        <f t="shared" si="65"/>
        <v>102</v>
      </c>
      <c r="C1198" t="str">
        <f t="shared" si="66"/>
        <v>48</v>
      </c>
      <c r="D1198" t="str">
        <f>"9"</f>
        <v>9</v>
      </c>
      <c r="E1198" t="str">
        <f>"102-48-9"</f>
        <v>102-48-9</v>
      </c>
      <c r="F1198" t="s">
        <v>27</v>
      </c>
      <c r="G1198" t="s">
        <v>28</v>
      </c>
      <c r="H1198">
        <v>1</v>
      </c>
      <c r="Q1198">
        <v>1</v>
      </c>
      <c r="R1198">
        <v>0</v>
      </c>
      <c r="S1198">
        <v>1</v>
      </c>
      <c r="T1198">
        <v>0</v>
      </c>
      <c r="U1198">
        <v>1</v>
      </c>
      <c r="V1198">
        <v>0</v>
      </c>
    </row>
    <row r="1199" spans="1:22" x14ac:dyDescent="0.25">
      <c r="A1199" t="str">
        <f>"1195"</f>
        <v>1195</v>
      </c>
      <c r="B1199" t="str">
        <f t="shared" si="65"/>
        <v>102</v>
      </c>
      <c r="C1199" t="str">
        <f t="shared" si="66"/>
        <v>48</v>
      </c>
      <c r="D1199" t="str">
        <f>"18"</f>
        <v>18</v>
      </c>
      <c r="E1199" t="str">
        <f>"102-48-18"</f>
        <v>102-48-18</v>
      </c>
      <c r="F1199" t="s">
        <v>27</v>
      </c>
      <c r="G1199" t="s">
        <v>28</v>
      </c>
      <c r="H1199">
        <v>1</v>
      </c>
      <c r="Q1199">
        <v>1</v>
      </c>
      <c r="R1199">
        <v>0</v>
      </c>
      <c r="S1199">
        <v>1</v>
      </c>
      <c r="T1199">
        <v>0</v>
      </c>
      <c r="U1199">
        <v>1</v>
      </c>
      <c r="V1199">
        <v>0</v>
      </c>
    </row>
    <row r="1200" spans="1:22" x14ac:dyDescent="0.25">
      <c r="A1200" t="str">
        <f>"1196"</f>
        <v>1196</v>
      </c>
      <c r="B1200" t="str">
        <f t="shared" si="65"/>
        <v>102</v>
      </c>
      <c r="C1200" t="str">
        <f t="shared" si="66"/>
        <v>48</v>
      </c>
      <c r="D1200" t="str">
        <f>"7"</f>
        <v>7</v>
      </c>
      <c r="E1200" t="str">
        <f>"102-48-7"</f>
        <v>102-48-7</v>
      </c>
      <c r="F1200" t="s">
        <v>27</v>
      </c>
      <c r="G1200" t="s">
        <v>28</v>
      </c>
      <c r="H1200">
        <v>1</v>
      </c>
      <c r="Q1200">
        <v>0</v>
      </c>
      <c r="R1200">
        <v>1</v>
      </c>
      <c r="S1200">
        <v>0</v>
      </c>
      <c r="T1200">
        <v>1</v>
      </c>
      <c r="U1200">
        <v>1</v>
      </c>
      <c r="V1200">
        <v>0</v>
      </c>
    </row>
    <row r="1201" spans="1:22" x14ac:dyDescent="0.25">
      <c r="A1201" t="str">
        <f>"1197"</f>
        <v>1197</v>
      </c>
      <c r="B1201" t="str">
        <f t="shared" si="65"/>
        <v>102</v>
      </c>
      <c r="C1201" t="str">
        <f t="shared" si="66"/>
        <v>48</v>
      </c>
      <c r="D1201" t="str">
        <f>"19"</f>
        <v>19</v>
      </c>
      <c r="E1201" t="str">
        <f>"102-48-19"</f>
        <v>102-48-19</v>
      </c>
      <c r="F1201" t="s">
        <v>27</v>
      </c>
      <c r="G1201" t="s">
        <v>28</v>
      </c>
      <c r="H1201">
        <v>1</v>
      </c>
      <c r="Q1201">
        <v>1</v>
      </c>
      <c r="R1201">
        <v>0</v>
      </c>
      <c r="S1201">
        <v>0</v>
      </c>
      <c r="T1201">
        <v>1</v>
      </c>
      <c r="U1201">
        <v>0</v>
      </c>
      <c r="V1201">
        <v>1</v>
      </c>
    </row>
    <row r="1202" spans="1:22" x14ac:dyDescent="0.25">
      <c r="A1202" t="str">
        <f>"1198"</f>
        <v>1198</v>
      </c>
      <c r="B1202" t="str">
        <f t="shared" si="65"/>
        <v>102</v>
      </c>
      <c r="C1202" t="str">
        <f t="shared" si="66"/>
        <v>48</v>
      </c>
      <c r="D1202" t="str">
        <f>"8"</f>
        <v>8</v>
      </c>
      <c r="E1202" t="str">
        <f>"102-48-8"</f>
        <v>102-48-8</v>
      </c>
      <c r="F1202" t="s">
        <v>27</v>
      </c>
      <c r="G1202" t="s">
        <v>28</v>
      </c>
      <c r="H1202">
        <v>1</v>
      </c>
      <c r="Q1202">
        <v>0</v>
      </c>
      <c r="R1202">
        <v>1</v>
      </c>
      <c r="S1202">
        <v>0</v>
      </c>
      <c r="T1202">
        <v>1</v>
      </c>
      <c r="U1202">
        <v>1</v>
      </c>
      <c r="V1202">
        <v>0</v>
      </c>
    </row>
    <row r="1203" spans="1:22" x14ac:dyDescent="0.25">
      <c r="A1203" t="str">
        <f>"1199"</f>
        <v>1199</v>
      </c>
      <c r="B1203" t="str">
        <f t="shared" si="65"/>
        <v>102</v>
      </c>
      <c r="C1203" t="str">
        <f t="shared" si="66"/>
        <v>48</v>
      </c>
      <c r="D1203" t="str">
        <f>"20"</f>
        <v>20</v>
      </c>
      <c r="E1203" t="str">
        <f>"102-48-20"</f>
        <v>102-48-20</v>
      </c>
      <c r="F1203" t="s">
        <v>27</v>
      </c>
      <c r="G1203" t="s">
        <v>28</v>
      </c>
      <c r="H1203">
        <v>1</v>
      </c>
      <c r="Q1203">
        <v>0</v>
      </c>
      <c r="R1203">
        <v>1</v>
      </c>
      <c r="S1203">
        <v>0</v>
      </c>
      <c r="T1203">
        <v>1</v>
      </c>
      <c r="U1203">
        <v>0</v>
      </c>
      <c r="V1203">
        <v>1</v>
      </c>
    </row>
    <row r="1204" spans="1:22" x14ac:dyDescent="0.25">
      <c r="A1204" t="str">
        <f>"1200"</f>
        <v>1200</v>
      </c>
      <c r="B1204" t="str">
        <f t="shared" si="65"/>
        <v>102</v>
      </c>
      <c r="C1204" t="str">
        <f t="shared" si="66"/>
        <v>48</v>
      </c>
      <c r="D1204" t="str">
        <f>"6"</f>
        <v>6</v>
      </c>
      <c r="E1204" t="str">
        <f>"102-48-6"</f>
        <v>102-48-6</v>
      </c>
      <c r="F1204" t="s">
        <v>27</v>
      </c>
      <c r="G1204" t="s">
        <v>28</v>
      </c>
      <c r="H1204">
        <v>1</v>
      </c>
      <c r="Q1204">
        <v>1</v>
      </c>
      <c r="R1204">
        <v>0</v>
      </c>
      <c r="S1204">
        <v>1</v>
      </c>
      <c r="T1204">
        <v>0</v>
      </c>
      <c r="U1204">
        <v>0</v>
      </c>
      <c r="V1204">
        <v>1</v>
      </c>
    </row>
    <row r="1205" spans="1:22" x14ac:dyDescent="0.25">
      <c r="A1205" t="str">
        <f>"1201"</f>
        <v>1201</v>
      </c>
      <c r="B1205" t="str">
        <f t="shared" si="65"/>
        <v>102</v>
      </c>
      <c r="C1205" t="str">
        <f t="shared" ref="C1205:C1229" si="67">"49"</f>
        <v>49</v>
      </c>
      <c r="D1205" t="str">
        <f>"23"</f>
        <v>23</v>
      </c>
      <c r="E1205" t="str">
        <f>"102-49-23"</f>
        <v>102-49-23</v>
      </c>
      <c r="F1205" t="s">
        <v>27</v>
      </c>
      <c r="G1205" t="s">
        <v>28</v>
      </c>
      <c r="H1205">
        <v>1</v>
      </c>
      <c r="Q1205">
        <v>1</v>
      </c>
      <c r="R1205">
        <v>0</v>
      </c>
      <c r="S1205">
        <v>0</v>
      </c>
      <c r="T1205">
        <v>1</v>
      </c>
      <c r="U1205">
        <v>0</v>
      </c>
      <c r="V1205">
        <v>1</v>
      </c>
    </row>
    <row r="1206" spans="1:22" x14ac:dyDescent="0.25">
      <c r="A1206" t="str">
        <f>"1202"</f>
        <v>1202</v>
      </c>
      <c r="B1206" t="str">
        <f t="shared" si="65"/>
        <v>102</v>
      </c>
      <c r="C1206" t="str">
        <f t="shared" si="67"/>
        <v>49</v>
      </c>
      <c r="D1206" t="str">
        <f>"11"</f>
        <v>11</v>
      </c>
      <c r="E1206" t="str">
        <f>"102-49-11"</f>
        <v>102-49-11</v>
      </c>
      <c r="F1206" t="s">
        <v>27</v>
      </c>
      <c r="G1206" t="s">
        <v>28</v>
      </c>
      <c r="H1206">
        <v>1</v>
      </c>
      <c r="Q1206">
        <v>0</v>
      </c>
      <c r="R1206">
        <v>1</v>
      </c>
      <c r="S1206">
        <v>0</v>
      </c>
      <c r="T1206">
        <v>1</v>
      </c>
      <c r="U1206">
        <v>0</v>
      </c>
      <c r="V1206">
        <v>1</v>
      </c>
    </row>
    <row r="1207" spans="1:22" x14ac:dyDescent="0.25">
      <c r="A1207" t="str">
        <f>"1203"</f>
        <v>1203</v>
      </c>
      <c r="B1207" t="str">
        <f t="shared" si="65"/>
        <v>102</v>
      </c>
      <c r="C1207" t="str">
        <f t="shared" si="67"/>
        <v>49</v>
      </c>
      <c r="D1207" t="str">
        <f>"1"</f>
        <v>1</v>
      </c>
      <c r="E1207" t="str">
        <f>"102-49-1"</f>
        <v>102-49-1</v>
      </c>
      <c r="F1207" t="s">
        <v>27</v>
      </c>
      <c r="G1207" t="s">
        <v>28</v>
      </c>
      <c r="H1207">
        <v>1</v>
      </c>
      <c r="Q1207">
        <v>1</v>
      </c>
      <c r="R1207">
        <v>0</v>
      </c>
      <c r="S1207">
        <v>0</v>
      </c>
      <c r="T1207">
        <v>1</v>
      </c>
      <c r="U1207">
        <v>1</v>
      </c>
      <c r="V1207">
        <v>0</v>
      </c>
    </row>
    <row r="1208" spans="1:22" x14ac:dyDescent="0.25">
      <c r="A1208" t="str">
        <f>"1204"</f>
        <v>1204</v>
      </c>
      <c r="B1208" t="str">
        <f t="shared" si="65"/>
        <v>102</v>
      </c>
      <c r="C1208" t="str">
        <f t="shared" si="67"/>
        <v>49</v>
      </c>
      <c r="D1208" t="str">
        <f>"21"</f>
        <v>21</v>
      </c>
      <c r="E1208" t="str">
        <f>"102-49-21"</f>
        <v>102-49-21</v>
      </c>
      <c r="F1208" t="s">
        <v>27</v>
      </c>
      <c r="G1208" t="s">
        <v>28</v>
      </c>
      <c r="H1208">
        <v>1</v>
      </c>
      <c r="Q1208">
        <v>0</v>
      </c>
      <c r="R1208">
        <v>1</v>
      </c>
      <c r="S1208">
        <v>0</v>
      </c>
      <c r="T1208">
        <v>1</v>
      </c>
      <c r="U1208">
        <v>0</v>
      </c>
      <c r="V1208">
        <v>1</v>
      </c>
    </row>
    <row r="1209" spans="1:22" x14ac:dyDescent="0.25">
      <c r="A1209" t="str">
        <f>"1205"</f>
        <v>1205</v>
      </c>
      <c r="B1209" t="str">
        <f t="shared" si="65"/>
        <v>102</v>
      </c>
      <c r="C1209" t="str">
        <f t="shared" si="67"/>
        <v>49</v>
      </c>
      <c r="D1209" t="str">
        <f>"12"</f>
        <v>12</v>
      </c>
      <c r="E1209" t="str">
        <f>"102-49-12"</f>
        <v>102-49-12</v>
      </c>
      <c r="F1209" t="s">
        <v>27</v>
      </c>
      <c r="G1209" t="s">
        <v>28</v>
      </c>
      <c r="H1209">
        <v>1</v>
      </c>
      <c r="Q1209">
        <v>1</v>
      </c>
      <c r="R1209">
        <v>0</v>
      </c>
      <c r="S1209">
        <v>1</v>
      </c>
      <c r="T1209">
        <v>0</v>
      </c>
      <c r="U1209">
        <v>0</v>
      </c>
      <c r="V1209">
        <v>1</v>
      </c>
    </row>
    <row r="1210" spans="1:22" x14ac:dyDescent="0.25">
      <c r="A1210" t="str">
        <f>"1206"</f>
        <v>1206</v>
      </c>
      <c r="B1210" t="str">
        <f t="shared" si="65"/>
        <v>102</v>
      </c>
      <c r="C1210" t="str">
        <f t="shared" si="67"/>
        <v>49</v>
      </c>
      <c r="D1210" t="str">
        <f>"4"</f>
        <v>4</v>
      </c>
      <c r="E1210" t="str">
        <f>"102-49-4"</f>
        <v>102-49-4</v>
      </c>
      <c r="F1210" t="s">
        <v>27</v>
      </c>
      <c r="G1210" t="s">
        <v>28</v>
      </c>
      <c r="H1210">
        <v>1</v>
      </c>
      <c r="Q1210">
        <v>1</v>
      </c>
      <c r="R1210">
        <v>0</v>
      </c>
      <c r="S1210">
        <v>1</v>
      </c>
      <c r="T1210">
        <v>0</v>
      </c>
      <c r="U1210">
        <v>1</v>
      </c>
      <c r="V1210">
        <v>0</v>
      </c>
    </row>
    <row r="1211" spans="1:22" x14ac:dyDescent="0.25">
      <c r="A1211" t="str">
        <f>"1207"</f>
        <v>1207</v>
      </c>
      <c r="B1211" t="str">
        <f t="shared" si="65"/>
        <v>102</v>
      </c>
      <c r="C1211" t="str">
        <f t="shared" si="67"/>
        <v>49</v>
      </c>
      <c r="D1211" t="str">
        <f>"24"</f>
        <v>24</v>
      </c>
      <c r="E1211" t="str">
        <f>"102-49-24"</f>
        <v>102-49-24</v>
      </c>
      <c r="F1211" t="s">
        <v>27</v>
      </c>
      <c r="G1211" t="s">
        <v>28</v>
      </c>
      <c r="H1211">
        <v>1</v>
      </c>
      <c r="Q1211">
        <v>1</v>
      </c>
      <c r="R1211">
        <v>0</v>
      </c>
      <c r="S1211">
        <v>0</v>
      </c>
      <c r="T1211">
        <v>1</v>
      </c>
      <c r="U1211">
        <v>1</v>
      </c>
      <c r="V1211">
        <v>0</v>
      </c>
    </row>
    <row r="1212" spans="1:22" x14ac:dyDescent="0.25">
      <c r="A1212" t="str">
        <f>"1208"</f>
        <v>1208</v>
      </c>
      <c r="B1212" t="str">
        <f t="shared" si="65"/>
        <v>102</v>
      </c>
      <c r="C1212" t="str">
        <f t="shared" si="67"/>
        <v>49</v>
      </c>
      <c r="D1212" t="str">
        <f>"13"</f>
        <v>13</v>
      </c>
      <c r="E1212" t="str">
        <f>"102-49-13"</f>
        <v>102-49-13</v>
      </c>
      <c r="F1212" t="s">
        <v>27</v>
      </c>
      <c r="G1212" t="s">
        <v>28</v>
      </c>
      <c r="H1212">
        <v>1</v>
      </c>
      <c r="Q1212">
        <v>0</v>
      </c>
      <c r="R1212">
        <v>1</v>
      </c>
      <c r="S1212">
        <v>0</v>
      </c>
      <c r="T1212">
        <v>1</v>
      </c>
      <c r="U1212">
        <v>0</v>
      </c>
      <c r="V1212">
        <v>1</v>
      </c>
    </row>
    <row r="1213" spans="1:22" x14ac:dyDescent="0.25">
      <c r="A1213" t="str">
        <f>"1209"</f>
        <v>1209</v>
      </c>
      <c r="B1213" t="str">
        <f t="shared" si="65"/>
        <v>102</v>
      </c>
      <c r="C1213" t="str">
        <f t="shared" si="67"/>
        <v>49</v>
      </c>
      <c r="D1213" t="str">
        <f>"3"</f>
        <v>3</v>
      </c>
      <c r="E1213" t="str">
        <f>"102-49-3"</f>
        <v>102-49-3</v>
      </c>
      <c r="F1213" t="s">
        <v>27</v>
      </c>
      <c r="G1213" t="s">
        <v>28</v>
      </c>
      <c r="H1213">
        <v>1</v>
      </c>
      <c r="Q1213">
        <v>1</v>
      </c>
      <c r="R1213">
        <v>0</v>
      </c>
      <c r="S1213">
        <v>1</v>
      </c>
      <c r="T1213">
        <v>0</v>
      </c>
      <c r="U1213">
        <v>0</v>
      </c>
      <c r="V1213">
        <v>1</v>
      </c>
    </row>
    <row r="1214" spans="1:22" x14ac:dyDescent="0.25">
      <c r="A1214" t="str">
        <f>"1210"</f>
        <v>1210</v>
      </c>
      <c r="B1214" t="str">
        <f t="shared" si="65"/>
        <v>102</v>
      </c>
      <c r="C1214" t="str">
        <f t="shared" si="67"/>
        <v>49</v>
      </c>
      <c r="D1214" t="str">
        <f>"14"</f>
        <v>14</v>
      </c>
      <c r="E1214" t="str">
        <f>"102-49-14"</f>
        <v>102-49-14</v>
      </c>
      <c r="F1214" t="s">
        <v>27</v>
      </c>
      <c r="G1214" t="s">
        <v>28</v>
      </c>
      <c r="H1214">
        <v>1</v>
      </c>
      <c r="Q1214">
        <v>0</v>
      </c>
      <c r="R1214">
        <v>1</v>
      </c>
      <c r="S1214">
        <v>0</v>
      </c>
      <c r="T1214">
        <v>1</v>
      </c>
      <c r="U1214">
        <v>1</v>
      </c>
      <c r="V1214">
        <v>0</v>
      </c>
    </row>
    <row r="1215" spans="1:22" x14ac:dyDescent="0.25">
      <c r="A1215" t="str">
        <f>"1211"</f>
        <v>1211</v>
      </c>
      <c r="B1215" t="str">
        <f t="shared" si="65"/>
        <v>102</v>
      </c>
      <c r="C1215" t="str">
        <f t="shared" si="67"/>
        <v>49</v>
      </c>
      <c r="D1215" t="str">
        <f>"2"</f>
        <v>2</v>
      </c>
      <c r="E1215" t="str">
        <f>"102-49-2"</f>
        <v>102-49-2</v>
      </c>
      <c r="F1215" t="s">
        <v>27</v>
      </c>
      <c r="G1215" t="s">
        <v>28</v>
      </c>
      <c r="H1215">
        <v>1</v>
      </c>
      <c r="Q1215">
        <v>0</v>
      </c>
      <c r="R1215">
        <v>1</v>
      </c>
      <c r="S1215">
        <v>0</v>
      </c>
      <c r="T1215">
        <v>1</v>
      </c>
      <c r="U1215">
        <v>0</v>
      </c>
      <c r="V1215">
        <v>0</v>
      </c>
    </row>
    <row r="1216" spans="1:22" x14ac:dyDescent="0.25">
      <c r="A1216" t="str">
        <f>"1212"</f>
        <v>1212</v>
      </c>
      <c r="B1216" t="str">
        <f t="shared" si="65"/>
        <v>102</v>
      </c>
      <c r="C1216" t="str">
        <f t="shared" si="67"/>
        <v>49</v>
      </c>
      <c r="D1216" t="str">
        <f>"25"</f>
        <v>25</v>
      </c>
      <c r="E1216" t="str">
        <f>"102-49-25"</f>
        <v>102-49-25</v>
      </c>
      <c r="F1216" t="s">
        <v>27</v>
      </c>
      <c r="G1216" t="s">
        <v>28</v>
      </c>
      <c r="H1216">
        <v>1</v>
      </c>
      <c r="Q1216">
        <v>0</v>
      </c>
      <c r="R1216">
        <v>1</v>
      </c>
      <c r="S1216">
        <v>0</v>
      </c>
      <c r="T1216">
        <v>1</v>
      </c>
      <c r="U1216">
        <v>0</v>
      </c>
      <c r="V1216">
        <v>1</v>
      </c>
    </row>
    <row r="1217" spans="1:26" x14ac:dyDescent="0.25">
      <c r="A1217" t="str">
        <f>"1213"</f>
        <v>1213</v>
      </c>
      <c r="B1217" t="str">
        <f t="shared" si="65"/>
        <v>102</v>
      </c>
      <c r="C1217" t="str">
        <f t="shared" si="67"/>
        <v>49</v>
      </c>
      <c r="D1217" t="str">
        <f>"15"</f>
        <v>15</v>
      </c>
      <c r="E1217" t="str">
        <f>"102-49-15"</f>
        <v>102-49-15</v>
      </c>
      <c r="F1217" t="s">
        <v>27</v>
      </c>
      <c r="G1217" t="s">
        <v>28</v>
      </c>
      <c r="H1217">
        <v>1</v>
      </c>
      <c r="Q1217">
        <v>0</v>
      </c>
      <c r="R1217">
        <v>1</v>
      </c>
      <c r="S1217">
        <v>0</v>
      </c>
      <c r="T1217">
        <v>1</v>
      </c>
      <c r="U1217">
        <v>0</v>
      </c>
      <c r="V1217">
        <v>1</v>
      </c>
    </row>
    <row r="1218" spans="1:26" x14ac:dyDescent="0.25">
      <c r="A1218" t="str">
        <f>"1214"</f>
        <v>1214</v>
      </c>
      <c r="B1218" t="str">
        <f t="shared" si="65"/>
        <v>102</v>
      </c>
      <c r="C1218" t="str">
        <f t="shared" si="67"/>
        <v>49</v>
      </c>
      <c r="D1218" t="str">
        <f>"6"</f>
        <v>6</v>
      </c>
      <c r="E1218" t="str">
        <f>"102-49-6"</f>
        <v>102-49-6</v>
      </c>
      <c r="F1218" t="s">
        <v>27</v>
      </c>
      <c r="G1218" t="s">
        <v>28</v>
      </c>
      <c r="H1218">
        <v>1</v>
      </c>
      <c r="Q1218">
        <v>1</v>
      </c>
      <c r="R1218">
        <v>0</v>
      </c>
      <c r="S1218">
        <v>1</v>
      </c>
      <c r="T1218">
        <v>0</v>
      </c>
      <c r="U1218">
        <v>0</v>
      </c>
      <c r="V1218">
        <v>1</v>
      </c>
    </row>
    <row r="1219" spans="1:26" x14ac:dyDescent="0.25">
      <c r="A1219" t="str">
        <f>"1215"</f>
        <v>1215</v>
      </c>
      <c r="B1219" t="str">
        <f t="shared" si="65"/>
        <v>102</v>
      </c>
      <c r="C1219" t="str">
        <f t="shared" si="67"/>
        <v>49</v>
      </c>
      <c r="D1219" t="str">
        <f>"22"</f>
        <v>22</v>
      </c>
      <c r="E1219" t="str">
        <f>"102-49-22"</f>
        <v>102-49-22</v>
      </c>
      <c r="F1219" t="s">
        <v>27</v>
      </c>
      <c r="G1219" t="s">
        <v>28</v>
      </c>
      <c r="H1219">
        <v>1</v>
      </c>
      <c r="Q1219">
        <v>1</v>
      </c>
      <c r="R1219">
        <v>0</v>
      </c>
      <c r="S1219">
        <v>0</v>
      </c>
      <c r="T1219">
        <v>1</v>
      </c>
      <c r="U1219">
        <v>0</v>
      </c>
      <c r="V1219">
        <v>1</v>
      </c>
    </row>
    <row r="1220" spans="1:26" x14ac:dyDescent="0.25">
      <c r="A1220" t="str">
        <f>"1216"</f>
        <v>1216</v>
      </c>
      <c r="B1220" t="str">
        <f t="shared" si="65"/>
        <v>102</v>
      </c>
      <c r="C1220" t="str">
        <f t="shared" si="67"/>
        <v>49</v>
      </c>
      <c r="D1220" t="str">
        <f>"16"</f>
        <v>16</v>
      </c>
      <c r="E1220" t="str">
        <f>"102-49-16"</f>
        <v>102-49-16</v>
      </c>
      <c r="F1220" t="s">
        <v>27</v>
      </c>
      <c r="G1220" t="s">
        <v>28</v>
      </c>
      <c r="H1220">
        <v>1</v>
      </c>
      <c r="Q1220">
        <v>0</v>
      </c>
      <c r="R1220">
        <v>1</v>
      </c>
      <c r="S1220">
        <v>0</v>
      </c>
      <c r="T1220">
        <v>1</v>
      </c>
      <c r="U1220">
        <v>1</v>
      </c>
      <c r="V1220">
        <v>0</v>
      </c>
    </row>
    <row r="1221" spans="1:26" x14ac:dyDescent="0.25">
      <c r="A1221" t="str">
        <f>"1217"</f>
        <v>1217</v>
      </c>
      <c r="B1221" t="str">
        <f t="shared" ref="B1221:B1284" si="68">"102"</f>
        <v>102</v>
      </c>
      <c r="C1221" t="str">
        <f t="shared" si="67"/>
        <v>49</v>
      </c>
      <c r="D1221" t="str">
        <f>"8"</f>
        <v>8</v>
      </c>
      <c r="E1221" t="str">
        <f>"102-49-8"</f>
        <v>102-49-8</v>
      </c>
      <c r="F1221" t="s">
        <v>27</v>
      </c>
      <c r="G1221" t="s">
        <v>28</v>
      </c>
      <c r="H1221">
        <v>1</v>
      </c>
      <c r="Q1221">
        <v>1</v>
      </c>
      <c r="R1221">
        <v>0</v>
      </c>
      <c r="S1221">
        <v>1</v>
      </c>
      <c r="T1221">
        <v>0</v>
      </c>
      <c r="U1221">
        <v>1</v>
      </c>
      <c r="V1221">
        <v>0</v>
      </c>
    </row>
    <row r="1222" spans="1:26" x14ac:dyDescent="0.25">
      <c r="A1222" t="str">
        <f>"1218"</f>
        <v>1218</v>
      </c>
      <c r="B1222" t="str">
        <f t="shared" si="68"/>
        <v>102</v>
      </c>
      <c r="C1222" t="str">
        <f t="shared" si="67"/>
        <v>49</v>
      </c>
      <c r="D1222" t="str">
        <f>"17"</f>
        <v>17</v>
      </c>
      <c r="E1222" t="str">
        <f>"102-49-17"</f>
        <v>102-49-17</v>
      </c>
      <c r="F1222" t="s">
        <v>27</v>
      </c>
      <c r="G1222" t="s">
        <v>28</v>
      </c>
      <c r="H1222">
        <v>1</v>
      </c>
      <c r="Q1222">
        <v>0</v>
      </c>
      <c r="R1222">
        <v>1</v>
      </c>
      <c r="S1222">
        <v>0</v>
      </c>
      <c r="T1222">
        <v>1</v>
      </c>
      <c r="U1222">
        <v>0</v>
      </c>
      <c r="V1222">
        <v>1</v>
      </c>
    </row>
    <row r="1223" spans="1:26" x14ac:dyDescent="0.25">
      <c r="A1223" t="str">
        <f>"1219"</f>
        <v>1219</v>
      </c>
      <c r="B1223" t="str">
        <f t="shared" si="68"/>
        <v>102</v>
      </c>
      <c r="C1223" t="str">
        <f t="shared" si="67"/>
        <v>49</v>
      </c>
      <c r="D1223" t="str">
        <f>"5"</f>
        <v>5</v>
      </c>
      <c r="E1223" t="str">
        <f>"102-49-5"</f>
        <v>102-49-5</v>
      </c>
      <c r="F1223" t="s">
        <v>27</v>
      </c>
      <c r="G1223" t="s">
        <v>28</v>
      </c>
      <c r="H1223">
        <v>1</v>
      </c>
      <c r="Q1223">
        <v>0</v>
      </c>
      <c r="R1223">
        <v>1</v>
      </c>
      <c r="S1223">
        <v>0</v>
      </c>
      <c r="T1223">
        <v>1</v>
      </c>
      <c r="U1223">
        <v>0</v>
      </c>
      <c r="V1223">
        <v>1</v>
      </c>
    </row>
    <row r="1224" spans="1:26" x14ac:dyDescent="0.25">
      <c r="A1224" t="str">
        <f>"1220"</f>
        <v>1220</v>
      </c>
      <c r="B1224" t="str">
        <f t="shared" si="68"/>
        <v>102</v>
      </c>
      <c r="C1224" t="str">
        <f t="shared" si="67"/>
        <v>49</v>
      </c>
      <c r="D1224" t="str">
        <f>"18"</f>
        <v>18</v>
      </c>
      <c r="E1224" t="str">
        <f>"102-49-18"</f>
        <v>102-49-18</v>
      </c>
      <c r="F1224" t="s">
        <v>27</v>
      </c>
      <c r="G1224" t="s">
        <v>28</v>
      </c>
      <c r="H1224">
        <v>1</v>
      </c>
      <c r="Q1224">
        <v>0</v>
      </c>
      <c r="R1224">
        <v>1</v>
      </c>
      <c r="S1224">
        <v>0</v>
      </c>
      <c r="T1224">
        <v>1</v>
      </c>
      <c r="U1224">
        <v>1</v>
      </c>
      <c r="V1224">
        <v>0</v>
      </c>
    </row>
    <row r="1225" spans="1:26" x14ac:dyDescent="0.25">
      <c r="A1225" t="str">
        <f>"1221"</f>
        <v>1221</v>
      </c>
      <c r="B1225" t="str">
        <f t="shared" si="68"/>
        <v>102</v>
      </c>
      <c r="C1225" t="str">
        <f t="shared" si="67"/>
        <v>49</v>
      </c>
      <c r="D1225" t="str">
        <f>"10"</f>
        <v>10</v>
      </c>
      <c r="E1225" t="str">
        <f>"102-49-10"</f>
        <v>102-49-10</v>
      </c>
      <c r="F1225" t="s">
        <v>27</v>
      </c>
      <c r="G1225" t="s">
        <v>28</v>
      </c>
      <c r="H1225">
        <v>1</v>
      </c>
      <c r="Q1225">
        <v>0</v>
      </c>
      <c r="R1225">
        <v>1</v>
      </c>
      <c r="S1225">
        <v>0</v>
      </c>
      <c r="T1225">
        <v>1</v>
      </c>
      <c r="U1225">
        <v>0</v>
      </c>
      <c r="V1225">
        <v>1</v>
      </c>
    </row>
    <row r="1226" spans="1:26" x14ac:dyDescent="0.25">
      <c r="A1226" t="str">
        <f>"1222"</f>
        <v>1222</v>
      </c>
      <c r="B1226" t="str">
        <f t="shared" si="68"/>
        <v>102</v>
      </c>
      <c r="C1226" t="str">
        <f t="shared" si="67"/>
        <v>49</v>
      </c>
      <c r="D1226" t="str">
        <f>"19"</f>
        <v>19</v>
      </c>
      <c r="E1226" t="str">
        <f>"102-49-19"</f>
        <v>102-49-19</v>
      </c>
      <c r="F1226" t="s">
        <v>27</v>
      </c>
      <c r="G1226" t="s">
        <v>29</v>
      </c>
      <c r="H1226">
        <v>3</v>
      </c>
      <c r="M1226">
        <v>1</v>
      </c>
      <c r="N1226">
        <v>0</v>
      </c>
      <c r="O1226">
        <v>1</v>
      </c>
      <c r="P1226">
        <v>0</v>
      </c>
      <c r="Q1226">
        <v>0</v>
      </c>
      <c r="R1226">
        <v>1</v>
      </c>
      <c r="S1226">
        <v>0</v>
      </c>
      <c r="T1226">
        <v>1</v>
      </c>
      <c r="U1226">
        <v>1</v>
      </c>
      <c r="V1226">
        <v>0</v>
      </c>
      <c r="Y1226">
        <v>1</v>
      </c>
      <c r="Z1226">
        <v>0</v>
      </c>
    </row>
    <row r="1227" spans="1:26" x14ac:dyDescent="0.25">
      <c r="A1227" t="str">
        <f>"1223"</f>
        <v>1223</v>
      </c>
      <c r="B1227" t="str">
        <f t="shared" si="68"/>
        <v>102</v>
      </c>
      <c r="C1227" t="str">
        <f t="shared" si="67"/>
        <v>49</v>
      </c>
      <c r="D1227" t="str">
        <f>"9"</f>
        <v>9</v>
      </c>
      <c r="E1227" t="str">
        <f>"102-49-9"</f>
        <v>102-49-9</v>
      </c>
      <c r="F1227" t="s">
        <v>27</v>
      </c>
      <c r="G1227" t="s">
        <v>28</v>
      </c>
      <c r="H1227">
        <v>1</v>
      </c>
      <c r="Q1227">
        <v>0</v>
      </c>
      <c r="R1227">
        <v>1</v>
      </c>
      <c r="S1227">
        <v>0</v>
      </c>
      <c r="T1227">
        <v>1</v>
      </c>
      <c r="U1227">
        <v>0</v>
      </c>
      <c r="V1227">
        <v>1</v>
      </c>
    </row>
    <row r="1228" spans="1:26" x14ac:dyDescent="0.25">
      <c r="A1228" t="str">
        <f>"1224"</f>
        <v>1224</v>
      </c>
      <c r="B1228" t="str">
        <f t="shared" si="68"/>
        <v>102</v>
      </c>
      <c r="C1228" t="str">
        <f t="shared" si="67"/>
        <v>49</v>
      </c>
      <c r="D1228" t="str">
        <f>"20"</f>
        <v>20</v>
      </c>
      <c r="E1228" t="str">
        <f>"102-49-20"</f>
        <v>102-49-20</v>
      </c>
      <c r="F1228" t="s">
        <v>27</v>
      </c>
      <c r="G1228" t="s">
        <v>28</v>
      </c>
      <c r="H1228">
        <v>1</v>
      </c>
      <c r="Q1228">
        <v>0</v>
      </c>
      <c r="R1228">
        <v>1</v>
      </c>
      <c r="S1228">
        <v>0</v>
      </c>
      <c r="T1228">
        <v>1</v>
      </c>
      <c r="U1228">
        <v>0</v>
      </c>
      <c r="V1228">
        <v>1</v>
      </c>
    </row>
    <row r="1229" spans="1:26" x14ac:dyDescent="0.25">
      <c r="A1229" t="str">
        <f>"1225"</f>
        <v>1225</v>
      </c>
      <c r="B1229" t="str">
        <f t="shared" si="68"/>
        <v>102</v>
      </c>
      <c r="C1229" t="str">
        <f t="shared" si="67"/>
        <v>49</v>
      </c>
      <c r="D1229" t="str">
        <f>"7"</f>
        <v>7</v>
      </c>
      <c r="E1229" t="str">
        <f>"102-49-7"</f>
        <v>102-49-7</v>
      </c>
      <c r="F1229" t="s">
        <v>27</v>
      </c>
      <c r="G1229" t="s">
        <v>28</v>
      </c>
      <c r="H1229">
        <v>1</v>
      </c>
      <c r="Q1229">
        <v>0</v>
      </c>
      <c r="R1229">
        <v>1</v>
      </c>
      <c r="S1229">
        <v>0</v>
      </c>
      <c r="T1229">
        <v>1</v>
      </c>
      <c r="U1229">
        <v>0</v>
      </c>
      <c r="V1229">
        <v>1</v>
      </c>
    </row>
    <row r="1230" spans="1:26" x14ac:dyDescent="0.25">
      <c r="A1230" t="str">
        <f>"1226"</f>
        <v>1226</v>
      </c>
      <c r="B1230" t="str">
        <f t="shared" si="68"/>
        <v>102</v>
      </c>
      <c r="C1230" t="str">
        <f t="shared" ref="C1230:C1254" si="69">"50"</f>
        <v>50</v>
      </c>
      <c r="D1230" t="str">
        <f>"19"</f>
        <v>19</v>
      </c>
      <c r="E1230" t="str">
        <f>"102-50-19"</f>
        <v>102-50-19</v>
      </c>
      <c r="F1230" t="s">
        <v>27</v>
      </c>
      <c r="G1230" t="s">
        <v>28</v>
      </c>
      <c r="H1230">
        <v>1</v>
      </c>
      <c r="Q1230">
        <v>0</v>
      </c>
      <c r="R1230">
        <v>1</v>
      </c>
      <c r="S1230">
        <v>0</v>
      </c>
      <c r="T1230">
        <v>1</v>
      </c>
      <c r="U1230">
        <v>0</v>
      </c>
      <c r="V1230">
        <v>1</v>
      </c>
    </row>
    <row r="1231" spans="1:26" x14ac:dyDescent="0.25">
      <c r="A1231" t="str">
        <f>"1227"</f>
        <v>1227</v>
      </c>
      <c r="B1231" t="str">
        <f t="shared" si="68"/>
        <v>102</v>
      </c>
      <c r="C1231" t="str">
        <f t="shared" si="69"/>
        <v>50</v>
      </c>
      <c r="D1231" t="str">
        <f>"11"</f>
        <v>11</v>
      </c>
      <c r="E1231" t="str">
        <f>"102-50-11"</f>
        <v>102-50-11</v>
      </c>
      <c r="F1231" t="s">
        <v>27</v>
      </c>
      <c r="G1231" t="s">
        <v>28</v>
      </c>
      <c r="H1231">
        <v>1</v>
      </c>
      <c r="Q1231">
        <v>1</v>
      </c>
      <c r="R1231">
        <v>0</v>
      </c>
      <c r="S1231">
        <v>0</v>
      </c>
      <c r="T1231">
        <v>1</v>
      </c>
      <c r="U1231">
        <v>0</v>
      </c>
      <c r="V1231">
        <v>1</v>
      </c>
    </row>
    <row r="1232" spans="1:26" x14ac:dyDescent="0.25">
      <c r="A1232" t="str">
        <f>"1228"</f>
        <v>1228</v>
      </c>
      <c r="B1232" t="str">
        <f t="shared" si="68"/>
        <v>102</v>
      </c>
      <c r="C1232" t="str">
        <f t="shared" si="69"/>
        <v>50</v>
      </c>
      <c r="D1232" t="str">
        <f>"1"</f>
        <v>1</v>
      </c>
      <c r="E1232" t="str">
        <f>"102-50-1"</f>
        <v>102-50-1</v>
      </c>
      <c r="F1232" t="s">
        <v>27</v>
      </c>
      <c r="G1232" t="s">
        <v>28</v>
      </c>
      <c r="H1232">
        <v>1</v>
      </c>
      <c r="Q1232">
        <v>1</v>
      </c>
      <c r="R1232">
        <v>0</v>
      </c>
      <c r="S1232">
        <v>1</v>
      </c>
      <c r="T1232">
        <v>0</v>
      </c>
      <c r="U1232">
        <v>0</v>
      </c>
      <c r="V1232">
        <v>1</v>
      </c>
    </row>
    <row r="1233" spans="1:26" x14ac:dyDescent="0.25">
      <c r="A1233" t="str">
        <f>"1229"</f>
        <v>1229</v>
      </c>
      <c r="B1233" t="str">
        <f t="shared" si="68"/>
        <v>102</v>
      </c>
      <c r="C1233" t="str">
        <f t="shared" si="69"/>
        <v>50</v>
      </c>
      <c r="D1233" t="str">
        <f>"22"</f>
        <v>22</v>
      </c>
      <c r="E1233" t="str">
        <f>"102-50-22"</f>
        <v>102-50-22</v>
      </c>
      <c r="F1233" t="s">
        <v>27</v>
      </c>
      <c r="G1233" t="s">
        <v>28</v>
      </c>
      <c r="H1233">
        <v>1</v>
      </c>
      <c r="Q1233">
        <v>0</v>
      </c>
      <c r="R1233">
        <v>1</v>
      </c>
      <c r="S1233">
        <v>0</v>
      </c>
      <c r="T1233">
        <v>1</v>
      </c>
      <c r="U1233">
        <v>0</v>
      </c>
      <c r="V1233">
        <v>1</v>
      </c>
    </row>
    <row r="1234" spans="1:26" x14ac:dyDescent="0.25">
      <c r="A1234" t="str">
        <f>"1230"</f>
        <v>1230</v>
      </c>
      <c r="B1234" t="str">
        <f t="shared" si="68"/>
        <v>102</v>
      </c>
      <c r="C1234" t="str">
        <f t="shared" si="69"/>
        <v>50</v>
      </c>
      <c r="D1234" t="str">
        <f>"12"</f>
        <v>12</v>
      </c>
      <c r="E1234" t="str">
        <f>"102-50-12"</f>
        <v>102-50-12</v>
      </c>
      <c r="F1234" t="s">
        <v>27</v>
      </c>
      <c r="G1234" t="s">
        <v>29</v>
      </c>
      <c r="H1234">
        <v>3</v>
      </c>
      <c r="M1234">
        <v>1</v>
      </c>
      <c r="N1234">
        <v>0</v>
      </c>
      <c r="O1234">
        <v>1</v>
      </c>
      <c r="P1234">
        <v>0</v>
      </c>
      <c r="Q1234">
        <v>0</v>
      </c>
      <c r="R1234">
        <v>1</v>
      </c>
      <c r="S1234">
        <v>0</v>
      </c>
      <c r="T1234">
        <v>1</v>
      </c>
      <c r="U1234">
        <v>0</v>
      </c>
      <c r="V1234">
        <v>1</v>
      </c>
      <c r="Y1234">
        <v>1</v>
      </c>
      <c r="Z1234">
        <v>0</v>
      </c>
    </row>
    <row r="1235" spans="1:26" x14ac:dyDescent="0.25">
      <c r="A1235" t="str">
        <f>"1231"</f>
        <v>1231</v>
      </c>
      <c r="B1235" t="str">
        <f t="shared" si="68"/>
        <v>102</v>
      </c>
      <c r="C1235" t="str">
        <f t="shared" si="69"/>
        <v>50</v>
      </c>
      <c r="D1235" t="str">
        <f>"2"</f>
        <v>2</v>
      </c>
      <c r="E1235" t="str">
        <f>"102-50-2"</f>
        <v>102-50-2</v>
      </c>
      <c r="F1235" t="s">
        <v>27</v>
      </c>
      <c r="G1235" t="s">
        <v>28</v>
      </c>
      <c r="H1235">
        <v>1</v>
      </c>
      <c r="Q1235">
        <v>0</v>
      </c>
      <c r="R1235">
        <v>1</v>
      </c>
      <c r="S1235">
        <v>0</v>
      </c>
      <c r="T1235">
        <v>1</v>
      </c>
      <c r="U1235">
        <v>0</v>
      </c>
      <c r="V1235">
        <v>1</v>
      </c>
    </row>
    <row r="1236" spans="1:26" x14ac:dyDescent="0.25">
      <c r="A1236" t="str">
        <f>"1232"</f>
        <v>1232</v>
      </c>
      <c r="B1236" t="str">
        <f t="shared" si="68"/>
        <v>102</v>
      </c>
      <c r="C1236" t="str">
        <f t="shared" si="69"/>
        <v>50</v>
      </c>
      <c r="D1236" t="str">
        <f>"24"</f>
        <v>24</v>
      </c>
      <c r="E1236" t="str">
        <f>"102-50-24"</f>
        <v>102-50-24</v>
      </c>
      <c r="F1236" t="s">
        <v>27</v>
      </c>
      <c r="G1236" t="s">
        <v>28</v>
      </c>
      <c r="H1236">
        <v>1</v>
      </c>
      <c r="Q1236">
        <v>1</v>
      </c>
      <c r="R1236">
        <v>0</v>
      </c>
      <c r="S1236">
        <v>1</v>
      </c>
      <c r="T1236">
        <v>0</v>
      </c>
      <c r="U1236">
        <v>1</v>
      </c>
      <c r="V1236">
        <v>0</v>
      </c>
    </row>
    <row r="1237" spans="1:26" x14ac:dyDescent="0.25">
      <c r="A1237" t="str">
        <f>"1233"</f>
        <v>1233</v>
      </c>
      <c r="B1237" t="str">
        <f t="shared" si="68"/>
        <v>102</v>
      </c>
      <c r="C1237" t="str">
        <f t="shared" si="69"/>
        <v>50</v>
      </c>
      <c r="D1237" t="str">
        <f>"13"</f>
        <v>13</v>
      </c>
      <c r="E1237" t="str">
        <f>"102-50-13"</f>
        <v>102-50-13</v>
      </c>
      <c r="F1237" t="s">
        <v>27</v>
      </c>
      <c r="G1237" t="s">
        <v>28</v>
      </c>
      <c r="H1237">
        <v>1</v>
      </c>
      <c r="Q1237">
        <v>0</v>
      </c>
      <c r="R1237">
        <v>1</v>
      </c>
      <c r="S1237">
        <v>0</v>
      </c>
      <c r="T1237">
        <v>1</v>
      </c>
      <c r="U1237">
        <v>0</v>
      </c>
      <c r="V1237">
        <v>1</v>
      </c>
    </row>
    <row r="1238" spans="1:26" x14ac:dyDescent="0.25">
      <c r="A1238" t="str">
        <f>"1234"</f>
        <v>1234</v>
      </c>
      <c r="B1238" t="str">
        <f t="shared" si="68"/>
        <v>102</v>
      </c>
      <c r="C1238" t="str">
        <f t="shared" si="69"/>
        <v>50</v>
      </c>
      <c r="D1238" t="str">
        <f>"3"</f>
        <v>3</v>
      </c>
      <c r="E1238" t="str">
        <f>"102-50-3"</f>
        <v>102-50-3</v>
      </c>
      <c r="F1238" t="s">
        <v>27</v>
      </c>
      <c r="G1238" t="s">
        <v>28</v>
      </c>
      <c r="H1238">
        <v>1</v>
      </c>
      <c r="Q1238">
        <v>1</v>
      </c>
      <c r="R1238">
        <v>0</v>
      </c>
      <c r="S1238">
        <v>1</v>
      </c>
      <c r="T1238">
        <v>0</v>
      </c>
      <c r="U1238">
        <v>0</v>
      </c>
      <c r="V1238">
        <v>1</v>
      </c>
    </row>
    <row r="1239" spans="1:26" x14ac:dyDescent="0.25">
      <c r="A1239" t="str">
        <f>"1235"</f>
        <v>1235</v>
      </c>
      <c r="B1239" t="str">
        <f t="shared" si="68"/>
        <v>102</v>
      </c>
      <c r="C1239" t="str">
        <f t="shared" si="69"/>
        <v>50</v>
      </c>
      <c r="D1239" t="str">
        <f>"20"</f>
        <v>20</v>
      </c>
      <c r="E1239" t="str">
        <f>"102-50-20"</f>
        <v>102-50-20</v>
      </c>
      <c r="F1239" t="s">
        <v>27</v>
      </c>
      <c r="G1239" t="s">
        <v>28</v>
      </c>
      <c r="H1239">
        <v>1</v>
      </c>
      <c r="Q1239">
        <v>0</v>
      </c>
      <c r="R1239">
        <v>1</v>
      </c>
      <c r="S1239">
        <v>0</v>
      </c>
      <c r="T1239">
        <v>1</v>
      </c>
      <c r="U1239">
        <v>0</v>
      </c>
      <c r="V1239">
        <v>1</v>
      </c>
    </row>
    <row r="1240" spans="1:26" x14ac:dyDescent="0.25">
      <c r="A1240" t="str">
        <f>"1236"</f>
        <v>1236</v>
      </c>
      <c r="B1240" t="str">
        <f t="shared" si="68"/>
        <v>102</v>
      </c>
      <c r="C1240" t="str">
        <f t="shared" si="69"/>
        <v>50</v>
      </c>
      <c r="D1240" t="str">
        <f>"14"</f>
        <v>14</v>
      </c>
      <c r="E1240" t="str">
        <f>"102-50-14"</f>
        <v>102-50-14</v>
      </c>
      <c r="F1240" t="s">
        <v>27</v>
      </c>
      <c r="G1240" t="s">
        <v>28</v>
      </c>
      <c r="H1240">
        <v>1</v>
      </c>
      <c r="Q1240">
        <v>0</v>
      </c>
      <c r="R1240">
        <v>1</v>
      </c>
      <c r="S1240">
        <v>0</v>
      </c>
      <c r="T1240">
        <v>1</v>
      </c>
      <c r="U1240">
        <v>0</v>
      </c>
      <c r="V1240">
        <v>1</v>
      </c>
    </row>
    <row r="1241" spans="1:26" x14ac:dyDescent="0.25">
      <c r="A1241" t="str">
        <f>"1237"</f>
        <v>1237</v>
      </c>
      <c r="B1241" t="str">
        <f t="shared" si="68"/>
        <v>102</v>
      </c>
      <c r="C1241" t="str">
        <f t="shared" si="69"/>
        <v>50</v>
      </c>
      <c r="D1241" t="str">
        <f>"6"</f>
        <v>6</v>
      </c>
      <c r="E1241" t="str">
        <f>"102-50-6"</f>
        <v>102-50-6</v>
      </c>
      <c r="F1241" t="s">
        <v>27</v>
      </c>
      <c r="G1241" t="s">
        <v>28</v>
      </c>
      <c r="H1241">
        <v>1</v>
      </c>
      <c r="Q1241">
        <v>0</v>
      </c>
      <c r="R1241">
        <v>1</v>
      </c>
      <c r="S1241">
        <v>0</v>
      </c>
      <c r="T1241">
        <v>1</v>
      </c>
      <c r="U1241">
        <v>0</v>
      </c>
      <c r="V1241">
        <v>1</v>
      </c>
    </row>
    <row r="1242" spans="1:26" x14ac:dyDescent="0.25">
      <c r="A1242" t="str">
        <f>"1238"</f>
        <v>1238</v>
      </c>
      <c r="B1242" t="str">
        <f t="shared" si="68"/>
        <v>102</v>
      </c>
      <c r="C1242" t="str">
        <f t="shared" si="69"/>
        <v>50</v>
      </c>
      <c r="D1242" t="str">
        <f>"25"</f>
        <v>25</v>
      </c>
      <c r="E1242" t="str">
        <f>"102-50-25"</f>
        <v>102-50-25</v>
      </c>
      <c r="F1242" t="s">
        <v>27</v>
      </c>
      <c r="G1242" t="s">
        <v>28</v>
      </c>
      <c r="H1242">
        <v>1</v>
      </c>
      <c r="Q1242">
        <v>0</v>
      </c>
      <c r="R1242">
        <v>1</v>
      </c>
      <c r="S1242">
        <v>0</v>
      </c>
      <c r="T1242">
        <v>1</v>
      </c>
      <c r="U1242">
        <v>0</v>
      </c>
      <c r="V1242">
        <v>1</v>
      </c>
    </row>
    <row r="1243" spans="1:26" x14ac:dyDescent="0.25">
      <c r="A1243" t="str">
        <f>"1239"</f>
        <v>1239</v>
      </c>
      <c r="B1243" t="str">
        <f t="shared" si="68"/>
        <v>102</v>
      </c>
      <c r="C1243" t="str">
        <f t="shared" si="69"/>
        <v>50</v>
      </c>
      <c r="D1243" t="str">
        <f>"15"</f>
        <v>15</v>
      </c>
      <c r="E1243" t="str">
        <f>"102-50-15"</f>
        <v>102-50-15</v>
      </c>
      <c r="F1243" t="s">
        <v>27</v>
      </c>
      <c r="G1243" t="s">
        <v>28</v>
      </c>
      <c r="H1243">
        <v>1</v>
      </c>
      <c r="Q1243">
        <v>0</v>
      </c>
      <c r="R1243">
        <v>1</v>
      </c>
      <c r="S1243">
        <v>0</v>
      </c>
      <c r="T1243">
        <v>1</v>
      </c>
      <c r="U1243">
        <v>0</v>
      </c>
      <c r="V1243">
        <v>1</v>
      </c>
    </row>
    <row r="1244" spans="1:26" x14ac:dyDescent="0.25">
      <c r="A1244" t="str">
        <f>"1240"</f>
        <v>1240</v>
      </c>
      <c r="B1244" t="str">
        <f t="shared" si="68"/>
        <v>102</v>
      </c>
      <c r="C1244" t="str">
        <f t="shared" si="69"/>
        <v>50</v>
      </c>
      <c r="D1244" t="str">
        <f>"7"</f>
        <v>7</v>
      </c>
      <c r="E1244" t="str">
        <f>"102-50-7"</f>
        <v>102-50-7</v>
      </c>
      <c r="F1244" t="s">
        <v>27</v>
      </c>
      <c r="G1244" t="s">
        <v>28</v>
      </c>
      <c r="H1244">
        <v>1</v>
      </c>
      <c r="Q1244">
        <v>1</v>
      </c>
      <c r="R1244">
        <v>0</v>
      </c>
      <c r="S1244">
        <v>1</v>
      </c>
      <c r="T1244">
        <v>0</v>
      </c>
      <c r="U1244">
        <v>1</v>
      </c>
      <c r="V1244">
        <v>0</v>
      </c>
    </row>
    <row r="1245" spans="1:26" x14ac:dyDescent="0.25">
      <c r="A1245" t="str">
        <f>"1241"</f>
        <v>1241</v>
      </c>
      <c r="B1245" t="str">
        <f t="shared" si="68"/>
        <v>102</v>
      </c>
      <c r="C1245" t="str">
        <f t="shared" si="69"/>
        <v>50</v>
      </c>
      <c r="D1245" t="str">
        <f>"16"</f>
        <v>16</v>
      </c>
      <c r="E1245" t="str">
        <f>"102-50-16"</f>
        <v>102-50-16</v>
      </c>
      <c r="F1245" t="s">
        <v>27</v>
      </c>
      <c r="G1245" t="s">
        <v>28</v>
      </c>
      <c r="H1245">
        <v>1</v>
      </c>
      <c r="Q1245">
        <v>0</v>
      </c>
      <c r="R1245">
        <v>1</v>
      </c>
      <c r="S1245">
        <v>0</v>
      </c>
      <c r="T1245">
        <v>1</v>
      </c>
      <c r="U1245">
        <v>0</v>
      </c>
      <c r="V1245">
        <v>1</v>
      </c>
    </row>
    <row r="1246" spans="1:26" x14ac:dyDescent="0.25">
      <c r="A1246" t="str">
        <f>"1242"</f>
        <v>1242</v>
      </c>
      <c r="B1246" t="str">
        <f t="shared" si="68"/>
        <v>102</v>
      </c>
      <c r="C1246" t="str">
        <f t="shared" si="69"/>
        <v>50</v>
      </c>
      <c r="D1246" t="str">
        <f>"4"</f>
        <v>4</v>
      </c>
      <c r="E1246" t="str">
        <f>"102-50-4"</f>
        <v>102-50-4</v>
      </c>
      <c r="F1246" t="s">
        <v>27</v>
      </c>
      <c r="G1246" t="s">
        <v>28</v>
      </c>
      <c r="H1246">
        <v>1</v>
      </c>
      <c r="Q1246">
        <v>1</v>
      </c>
      <c r="R1246">
        <v>0</v>
      </c>
      <c r="S1246">
        <v>0</v>
      </c>
      <c r="T1246">
        <v>1</v>
      </c>
      <c r="U1246">
        <v>1</v>
      </c>
      <c r="V1246">
        <v>0</v>
      </c>
    </row>
    <row r="1247" spans="1:26" x14ac:dyDescent="0.25">
      <c r="A1247" t="str">
        <f>"1243"</f>
        <v>1243</v>
      </c>
      <c r="B1247" t="str">
        <f t="shared" si="68"/>
        <v>102</v>
      </c>
      <c r="C1247" t="str">
        <f t="shared" si="69"/>
        <v>50</v>
      </c>
      <c r="D1247" t="str">
        <f>"17"</f>
        <v>17</v>
      </c>
      <c r="E1247" t="str">
        <f>"102-50-17"</f>
        <v>102-50-17</v>
      </c>
      <c r="F1247" t="s">
        <v>27</v>
      </c>
      <c r="G1247" t="s">
        <v>29</v>
      </c>
      <c r="H1247">
        <v>3</v>
      </c>
      <c r="M1247">
        <v>1</v>
      </c>
      <c r="N1247">
        <v>0</v>
      </c>
      <c r="O1247">
        <v>1</v>
      </c>
      <c r="P1247">
        <v>0</v>
      </c>
      <c r="Q1247">
        <v>0</v>
      </c>
      <c r="R1247">
        <v>1</v>
      </c>
      <c r="S1247">
        <v>0</v>
      </c>
      <c r="T1247">
        <v>1</v>
      </c>
      <c r="U1247">
        <v>0</v>
      </c>
      <c r="V1247">
        <v>1</v>
      </c>
      <c r="Y1247">
        <v>1</v>
      </c>
      <c r="Z1247">
        <v>0</v>
      </c>
    </row>
    <row r="1248" spans="1:26" x14ac:dyDescent="0.25">
      <c r="A1248" t="str">
        <f>"1244"</f>
        <v>1244</v>
      </c>
      <c r="B1248" t="str">
        <f t="shared" si="68"/>
        <v>102</v>
      </c>
      <c r="C1248" t="str">
        <f t="shared" si="69"/>
        <v>50</v>
      </c>
      <c r="D1248" t="str">
        <f>"5"</f>
        <v>5</v>
      </c>
      <c r="E1248" t="str">
        <f>"102-50-5"</f>
        <v>102-50-5</v>
      </c>
      <c r="F1248" t="s">
        <v>27</v>
      </c>
      <c r="G1248" t="s">
        <v>28</v>
      </c>
      <c r="H1248">
        <v>1</v>
      </c>
      <c r="Q1248">
        <v>0</v>
      </c>
      <c r="R1248">
        <v>1</v>
      </c>
      <c r="S1248">
        <v>0</v>
      </c>
      <c r="T1248">
        <v>1</v>
      </c>
      <c r="U1248">
        <v>0</v>
      </c>
      <c r="V1248">
        <v>1</v>
      </c>
    </row>
    <row r="1249" spans="1:26" x14ac:dyDescent="0.25">
      <c r="A1249" t="str">
        <f>"1245"</f>
        <v>1245</v>
      </c>
      <c r="B1249" t="str">
        <f t="shared" si="68"/>
        <v>102</v>
      </c>
      <c r="C1249" t="str">
        <f t="shared" si="69"/>
        <v>50</v>
      </c>
      <c r="D1249" t="str">
        <f>"18"</f>
        <v>18</v>
      </c>
      <c r="E1249" t="str">
        <f>"102-50-18"</f>
        <v>102-50-18</v>
      </c>
      <c r="F1249" t="s">
        <v>27</v>
      </c>
      <c r="G1249" t="s">
        <v>28</v>
      </c>
      <c r="H1249">
        <v>1</v>
      </c>
      <c r="Q1249">
        <v>0</v>
      </c>
      <c r="R1249">
        <v>1</v>
      </c>
      <c r="S1249">
        <v>0</v>
      </c>
      <c r="T1249">
        <v>1</v>
      </c>
      <c r="U1249">
        <v>0</v>
      </c>
      <c r="V1249">
        <v>1</v>
      </c>
    </row>
    <row r="1250" spans="1:26" x14ac:dyDescent="0.25">
      <c r="A1250" t="str">
        <f>"1246"</f>
        <v>1246</v>
      </c>
      <c r="B1250" t="str">
        <f t="shared" si="68"/>
        <v>102</v>
      </c>
      <c r="C1250" t="str">
        <f t="shared" si="69"/>
        <v>50</v>
      </c>
      <c r="D1250" t="str">
        <f>"8"</f>
        <v>8</v>
      </c>
      <c r="E1250" t="str">
        <f>"102-50-8"</f>
        <v>102-50-8</v>
      </c>
      <c r="F1250" t="s">
        <v>27</v>
      </c>
      <c r="G1250" t="s">
        <v>28</v>
      </c>
      <c r="H1250">
        <v>1</v>
      </c>
      <c r="Q1250">
        <v>0</v>
      </c>
      <c r="R1250">
        <v>1</v>
      </c>
      <c r="S1250">
        <v>0</v>
      </c>
      <c r="T1250">
        <v>1</v>
      </c>
      <c r="U1250">
        <v>0</v>
      </c>
      <c r="V1250">
        <v>1</v>
      </c>
    </row>
    <row r="1251" spans="1:26" x14ac:dyDescent="0.25">
      <c r="A1251" t="str">
        <f>"1247"</f>
        <v>1247</v>
      </c>
      <c r="B1251" t="str">
        <f t="shared" si="68"/>
        <v>102</v>
      </c>
      <c r="C1251" t="str">
        <f t="shared" si="69"/>
        <v>50</v>
      </c>
      <c r="D1251" t="str">
        <f>"21"</f>
        <v>21</v>
      </c>
      <c r="E1251" t="str">
        <f>"102-50-21"</f>
        <v>102-50-21</v>
      </c>
      <c r="F1251" t="s">
        <v>27</v>
      </c>
      <c r="G1251" t="s">
        <v>28</v>
      </c>
      <c r="H1251">
        <v>1</v>
      </c>
      <c r="Q1251">
        <v>0</v>
      </c>
      <c r="R1251">
        <v>1</v>
      </c>
      <c r="S1251">
        <v>0</v>
      </c>
      <c r="T1251">
        <v>1</v>
      </c>
      <c r="U1251">
        <v>0</v>
      </c>
      <c r="V1251">
        <v>1</v>
      </c>
    </row>
    <row r="1252" spans="1:26" x14ac:dyDescent="0.25">
      <c r="A1252" t="str">
        <f>"1248"</f>
        <v>1248</v>
      </c>
      <c r="B1252" t="str">
        <f t="shared" si="68"/>
        <v>102</v>
      </c>
      <c r="C1252" t="str">
        <f t="shared" si="69"/>
        <v>50</v>
      </c>
      <c r="D1252" t="str">
        <f>"9"</f>
        <v>9</v>
      </c>
      <c r="E1252" t="str">
        <f>"102-50-9"</f>
        <v>102-50-9</v>
      </c>
      <c r="F1252" t="s">
        <v>27</v>
      </c>
      <c r="G1252" t="s">
        <v>29</v>
      </c>
      <c r="H1252">
        <v>3</v>
      </c>
      <c r="M1252">
        <v>1</v>
      </c>
      <c r="N1252">
        <v>0</v>
      </c>
      <c r="O1252">
        <v>1</v>
      </c>
      <c r="P1252">
        <v>0</v>
      </c>
      <c r="Q1252">
        <v>0</v>
      </c>
      <c r="R1252">
        <v>1</v>
      </c>
      <c r="S1252">
        <v>0</v>
      </c>
      <c r="T1252">
        <v>1</v>
      </c>
      <c r="U1252">
        <v>0</v>
      </c>
      <c r="V1252">
        <v>1</v>
      </c>
      <c r="Y1252">
        <v>1</v>
      </c>
      <c r="Z1252">
        <v>0</v>
      </c>
    </row>
    <row r="1253" spans="1:26" x14ac:dyDescent="0.25">
      <c r="A1253" t="str">
        <f>"1249"</f>
        <v>1249</v>
      </c>
      <c r="B1253" t="str">
        <f t="shared" si="68"/>
        <v>102</v>
      </c>
      <c r="C1253" t="str">
        <f t="shared" si="69"/>
        <v>50</v>
      </c>
      <c r="D1253" t="str">
        <f>"23"</f>
        <v>23</v>
      </c>
      <c r="E1253" t="str">
        <f>"102-50-23"</f>
        <v>102-50-23</v>
      </c>
      <c r="F1253" t="s">
        <v>27</v>
      </c>
      <c r="G1253" t="s">
        <v>28</v>
      </c>
      <c r="H1253">
        <v>1</v>
      </c>
      <c r="Q1253">
        <v>1</v>
      </c>
      <c r="R1253">
        <v>0</v>
      </c>
      <c r="S1253">
        <v>1</v>
      </c>
      <c r="T1253">
        <v>0</v>
      </c>
      <c r="U1253">
        <v>1</v>
      </c>
      <c r="V1253">
        <v>0</v>
      </c>
    </row>
    <row r="1254" spans="1:26" x14ac:dyDescent="0.25">
      <c r="A1254" t="str">
        <f>"1250"</f>
        <v>1250</v>
      </c>
      <c r="B1254" t="str">
        <f t="shared" si="68"/>
        <v>102</v>
      </c>
      <c r="C1254" t="str">
        <f t="shared" si="69"/>
        <v>50</v>
      </c>
      <c r="D1254" t="str">
        <f>"10"</f>
        <v>10</v>
      </c>
      <c r="E1254" t="str">
        <f>"102-50-10"</f>
        <v>102-50-10</v>
      </c>
      <c r="F1254" t="s">
        <v>27</v>
      </c>
      <c r="G1254" t="s">
        <v>29</v>
      </c>
      <c r="H1254">
        <v>3</v>
      </c>
      <c r="M1254">
        <v>1</v>
      </c>
      <c r="N1254">
        <v>0</v>
      </c>
      <c r="O1254">
        <v>0</v>
      </c>
      <c r="P1254">
        <v>0</v>
      </c>
      <c r="Q1254">
        <v>0</v>
      </c>
      <c r="R1254">
        <v>1</v>
      </c>
      <c r="S1254">
        <v>0</v>
      </c>
      <c r="T1254">
        <v>1</v>
      </c>
      <c r="U1254">
        <v>0</v>
      </c>
      <c r="V1254">
        <v>1</v>
      </c>
      <c r="Y1254">
        <v>1</v>
      </c>
      <c r="Z1254">
        <v>0</v>
      </c>
    </row>
    <row r="1255" spans="1:26" x14ac:dyDescent="0.25">
      <c r="A1255" t="str">
        <f>"1251"</f>
        <v>1251</v>
      </c>
      <c r="B1255" t="str">
        <f t="shared" si="68"/>
        <v>102</v>
      </c>
      <c r="C1255" t="str">
        <f t="shared" ref="C1255:C1279" si="70">"51"</f>
        <v>51</v>
      </c>
      <c r="D1255" t="str">
        <f>"21"</f>
        <v>21</v>
      </c>
      <c r="E1255" t="str">
        <f>"102-51-21"</f>
        <v>102-51-21</v>
      </c>
      <c r="F1255" t="s">
        <v>27</v>
      </c>
      <c r="G1255" t="s">
        <v>28</v>
      </c>
      <c r="H1255">
        <v>1</v>
      </c>
      <c r="Q1255">
        <v>0</v>
      </c>
      <c r="R1255">
        <v>1</v>
      </c>
      <c r="S1255">
        <v>0</v>
      </c>
      <c r="T1255">
        <v>1</v>
      </c>
      <c r="U1255">
        <v>1</v>
      </c>
      <c r="V1255">
        <v>0</v>
      </c>
    </row>
    <row r="1256" spans="1:26" x14ac:dyDescent="0.25">
      <c r="A1256" t="str">
        <f>"1252"</f>
        <v>1252</v>
      </c>
      <c r="B1256" t="str">
        <f t="shared" si="68"/>
        <v>102</v>
      </c>
      <c r="C1256" t="str">
        <f t="shared" si="70"/>
        <v>51</v>
      </c>
      <c r="D1256" t="str">
        <f>"11"</f>
        <v>11</v>
      </c>
      <c r="E1256" t="str">
        <f>"102-51-11"</f>
        <v>102-51-11</v>
      </c>
      <c r="F1256" t="s">
        <v>27</v>
      </c>
      <c r="G1256" t="s">
        <v>28</v>
      </c>
      <c r="H1256">
        <v>1</v>
      </c>
      <c r="Q1256">
        <v>0</v>
      </c>
      <c r="R1256">
        <v>1</v>
      </c>
      <c r="S1256">
        <v>0</v>
      </c>
      <c r="T1256">
        <v>1</v>
      </c>
      <c r="U1256">
        <v>0</v>
      </c>
      <c r="V1256">
        <v>1</v>
      </c>
    </row>
    <row r="1257" spans="1:26" x14ac:dyDescent="0.25">
      <c r="A1257" t="str">
        <f>"1253"</f>
        <v>1253</v>
      </c>
      <c r="B1257" t="str">
        <f t="shared" si="68"/>
        <v>102</v>
      </c>
      <c r="C1257" t="str">
        <f t="shared" si="70"/>
        <v>51</v>
      </c>
      <c r="D1257" t="str">
        <f>"2"</f>
        <v>2</v>
      </c>
      <c r="E1257" t="str">
        <f>"102-51-2"</f>
        <v>102-51-2</v>
      </c>
      <c r="F1257" t="s">
        <v>27</v>
      </c>
      <c r="G1257" t="s">
        <v>28</v>
      </c>
      <c r="H1257">
        <v>1</v>
      </c>
      <c r="Q1257">
        <v>1</v>
      </c>
      <c r="R1257">
        <v>0</v>
      </c>
      <c r="S1257">
        <v>0</v>
      </c>
      <c r="T1257">
        <v>1</v>
      </c>
      <c r="U1257">
        <v>1</v>
      </c>
      <c r="V1257">
        <v>0</v>
      </c>
    </row>
    <row r="1258" spans="1:26" x14ac:dyDescent="0.25">
      <c r="A1258" t="str">
        <f>"1254"</f>
        <v>1254</v>
      </c>
      <c r="B1258" t="str">
        <f t="shared" si="68"/>
        <v>102</v>
      </c>
      <c r="C1258" t="str">
        <f t="shared" si="70"/>
        <v>51</v>
      </c>
      <c r="D1258" t="str">
        <f>"22"</f>
        <v>22</v>
      </c>
      <c r="E1258" t="str">
        <f>"102-51-22"</f>
        <v>102-51-22</v>
      </c>
      <c r="F1258" t="s">
        <v>27</v>
      </c>
      <c r="G1258" t="s">
        <v>28</v>
      </c>
      <c r="H1258">
        <v>1</v>
      </c>
      <c r="Q1258">
        <v>0</v>
      </c>
      <c r="R1258">
        <v>1</v>
      </c>
      <c r="S1258">
        <v>0</v>
      </c>
      <c r="T1258">
        <v>1</v>
      </c>
      <c r="U1258">
        <v>0</v>
      </c>
      <c r="V1258">
        <v>1</v>
      </c>
    </row>
    <row r="1259" spans="1:26" x14ac:dyDescent="0.25">
      <c r="A1259" t="str">
        <f>"1255"</f>
        <v>1255</v>
      </c>
      <c r="B1259" t="str">
        <f t="shared" si="68"/>
        <v>102</v>
      </c>
      <c r="C1259" t="str">
        <f t="shared" si="70"/>
        <v>51</v>
      </c>
      <c r="D1259" t="str">
        <f>"12"</f>
        <v>12</v>
      </c>
      <c r="E1259" t="str">
        <f>"102-51-12"</f>
        <v>102-51-12</v>
      </c>
      <c r="F1259" t="s">
        <v>27</v>
      </c>
      <c r="G1259" t="s">
        <v>28</v>
      </c>
      <c r="H1259">
        <v>1</v>
      </c>
      <c r="Q1259">
        <v>0</v>
      </c>
      <c r="R1259">
        <v>1</v>
      </c>
      <c r="S1259">
        <v>0</v>
      </c>
      <c r="T1259">
        <v>1</v>
      </c>
      <c r="U1259">
        <v>0</v>
      </c>
      <c r="V1259">
        <v>1</v>
      </c>
    </row>
    <row r="1260" spans="1:26" x14ac:dyDescent="0.25">
      <c r="A1260" t="str">
        <f>"1256"</f>
        <v>1256</v>
      </c>
      <c r="B1260" t="str">
        <f t="shared" si="68"/>
        <v>102</v>
      </c>
      <c r="C1260" t="str">
        <f t="shared" si="70"/>
        <v>51</v>
      </c>
      <c r="D1260" t="str">
        <f>"1"</f>
        <v>1</v>
      </c>
      <c r="E1260" t="str">
        <f>"102-51-1"</f>
        <v>102-51-1</v>
      </c>
      <c r="F1260" t="s">
        <v>27</v>
      </c>
      <c r="G1260" t="s">
        <v>28</v>
      </c>
      <c r="H1260">
        <v>1</v>
      </c>
      <c r="Q1260">
        <v>1</v>
      </c>
      <c r="R1260">
        <v>0</v>
      </c>
      <c r="S1260">
        <v>0</v>
      </c>
      <c r="T1260">
        <v>1</v>
      </c>
      <c r="U1260">
        <v>1</v>
      </c>
      <c r="V1260">
        <v>0</v>
      </c>
    </row>
    <row r="1261" spans="1:26" x14ac:dyDescent="0.25">
      <c r="A1261" t="str">
        <f>"1257"</f>
        <v>1257</v>
      </c>
      <c r="B1261" t="str">
        <f t="shared" si="68"/>
        <v>102</v>
      </c>
      <c r="C1261" t="str">
        <f t="shared" si="70"/>
        <v>51</v>
      </c>
      <c r="D1261" t="str">
        <f>"23"</f>
        <v>23</v>
      </c>
      <c r="E1261" t="str">
        <f>"102-51-23"</f>
        <v>102-51-23</v>
      </c>
      <c r="F1261" t="s">
        <v>27</v>
      </c>
      <c r="G1261" t="s">
        <v>28</v>
      </c>
      <c r="H1261">
        <v>1</v>
      </c>
      <c r="Q1261">
        <v>0</v>
      </c>
      <c r="R1261">
        <v>1</v>
      </c>
      <c r="S1261">
        <v>0</v>
      </c>
      <c r="T1261">
        <v>1</v>
      </c>
      <c r="U1261">
        <v>0</v>
      </c>
      <c r="V1261">
        <v>1</v>
      </c>
    </row>
    <row r="1262" spans="1:26" x14ac:dyDescent="0.25">
      <c r="A1262" t="str">
        <f>"1258"</f>
        <v>1258</v>
      </c>
      <c r="B1262" t="str">
        <f t="shared" si="68"/>
        <v>102</v>
      </c>
      <c r="C1262" t="str">
        <f t="shared" si="70"/>
        <v>51</v>
      </c>
      <c r="D1262" t="str">
        <f>"13"</f>
        <v>13</v>
      </c>
      <c r="E1262" t="str">
        <f>"102-51-13"</f>
        <v>102-51-13</v>
      </c>
      <c r="F1262" t="s">
        <v>27</v>
      </c>
      <c r="G1262" t="s">
        <v>28</v>
      </c>
      <c r="H1262">
        <v>1</v>
      </c>
      <c r="Q1262">
        <v>0</v>
      </c>
      <c r="R1262">
        <v>1</v>
      </c>
      <c r="S1262">
        <v>0</v>
      </c>
      <c r="T1262">
        <v>1</v>
      </c>
      <c r="U1262">
        <v>0</v>
      </c>
      <c r="V1262">
        <v>1</v>
      </c>
    </row>
    <row r="1263" spans="1:26" x14ac:dyDescent="0.25">
      <c r="A1263" t="str">
        <f>"1259"</f>
        <v>1259</v>
      </c>
      <c r="B1263" t="str">
        <f t="shared" si="68"/>
        <v>102</v>
      </c>
      <c r="C1263" t="str">
        <f t="shared" si="70"/>
        <v>51</v>
      </c>
      <c r="D1263" t="str">
        <f>"4"</f>
        <v>4</v>
      </c>
      <c r="E1263" t="str">
        <f>"102-51-4"</f>
        <v>102-51-4</v>
      </c>
      <c r="F1263" t="s">
        <v>27</v>
      </c>
      <c r="G1263" t="s">
        <v>28</v>
      </c>
      <c r="H1263">
        <v>1</v>
      </c>
      <c r="Q1263">
        <v>0</v>
      </c>
      <c r="R1263">
        <v>1</v>
      </c>
      <c r="S1263">
        <v>0</v>
      </c>
      <c r="T1263">
        <v>1</v>
      </c>
      <c r="U1263">
        <v>0</v>
      </c>
      <c r="V1263">
        <v>1</v>
      </c>
    </row>
    <row r="1264" spans="1:26" x14ac:dyDescent="0.25">
      <c r="A1264" t="str">
        <f>"1260"</f>
        <v>1260</v>
      </c>
      <c r="B1264" t="str">
        <f t="shared" si="68"/>
        <v>102</v>
      </c>
      <c r="C1264" t="str">
        <f t="shared" si="70"/>
        <v>51</v>
      </c>
      <c r="D1264" t="str">
        <f>"25"</f>
        <v>25</v>
      </c>
      <c r="E1264" t="str">
        <f>"102-51-25"</f>
        <v>102-51-25</v>
      </c>
      <c r="F1264" t="s">
        <v>27</v>
      </c>
      <c r="G1264" t="s">
        <v>28</v>
      </c>
      <c r="H1264">
        <v>1</v>
      </c>
      <c r="Q1264">
        <v>0</v>
      </c>
      <c r="R1264">
        <v>1</v>
      </c>
      <c r="S1264">
        <v>0</v>
      </c>
      <c r="T1264">
        <v>1</v>
      </c>
      <c r="U1264">
        <v>0</v>
      </c>
      <c r="V1264">
        <v>1</v>
      </c>
    </row>
    <row r="1265" spans="1:22" x14ac:dyDescent="0.25">
      <c r="A1265" t="str">
        <f>"1261"</f>
        <v>1261</v>
      </c>
      <c r="B1265" t="str">
        <f t="shared" si="68"/>
        <v>102</v>
      </c>
      <c r="C1265" t="str">
        <f t="shared" si="70"/>
        <v>51</v>
      </c>
      <c r="D1265" t="str">
        <f>"14"</f>
        <v>14</v>
      </c>
      <c r="E1265" t="str">
        <f>"102-51-14"</f>
        <v>102-51-14</v>
      </c>
      <c r="F1265" t="s">
        <v>27</v>
      </c>
      <c r="G1265" t="s">
        <v>28</v>
      </c>
      <c r="H1265">
        <v>1</v>
      </c>
      <c r="Q1265">
        <v>0</v>
      </c>
      <c r="R1265">
        <v>1</v>
      </c>
      <c r="S1265">
        <v>0</v>
      </c>
      <c r="T1265">
        <v>1</v>
      </c>
      <c r="U1265">
        <v>0</v>
      </c>
      <c r="V1265">
        <v>0</v>
      </c>
    </row>
    <row r="1266" spans="1:22" x14ac:dyDescent="0.25">
      <c r="A1266" t="str">
        <f>"1262"</f>
        <v>1262</v>
      </c>
      <c r="B1266" t="str">
        <f t="shared" si="68"/>
        <v>102</v>
      </c>
      <c r="C1266" t="str">
        <f t="shared" si="70"/>
        <v>51</v>
      </c>
      <c r="D1266" t="str">
        <f>"8"</f>
        <v>8</v>
      </c>
      <c r="E1266" t="str">
        <f>"102-51-8"</f>
        <v>102-51-8</v>
      </c>
      <c r="F1266" t="s">
        <v>27</v>
      </c>
      <c r="G1266" t="s">
        <v>28</v>
      </c>
      <c r="H1266">
        <v>1</v>
      </c>
      <c r="Q1266">
        <v>1</v>
      </c>
      <c r="R1266">
        <v>0</v>
      </c>
      <c r="S1266">
        <v>0</v>
      </c>
      <c r="T1266">
        <v>1</v>
      </c>
      <c r="U1266">
        <v>0</v>
      </c>
      <c r="V1266">
        <v>1</v>
      </c>
    </row>
    <row r="1267" spans="1:22" x14ac:dyDescent="0.25">
      <c r="A1267" t="str">
        <f>"1263"</f>
        <v>1263</v>
      </c>
      <c r="B1267" t="str">
        <f t="shared" si="68"/>
        <v>102</v>
      </c>
      <c r="C1267" t="str">
        <f t="shared" si="70"/>
        <v>51</v>
      </c>
      <c r="D1267" t="str">
        <f>"24"</f>
        <v>24</v>
      </c>
      <c r="E1267" t="str">
        <f>"102-51-24"</f>
        <v>102-51-24</v>
      </c>
      <c r="F1267" t="s">
        <v>27</v>
      </c>
      <c r="G1267" t="s">
        <v>28</v>
      </c>
      <c r="H1267">
        <v>1</v>
      </c>
      <c r="Q1267">
        <v>1</v>
      </c>
      <c r="R1267">
        <v>0</v>
      </c>
      <c r="S1267">
        <v>0</v>
      </c>
      <c r="T1267">
        <v>1</v>
      </c>
      <c r="U1267">
        <v>1</v>
      </c>
      <c r="V1267">
        <v>0</v>
      </c>
    </row>
    <row r="1268" spans="1:22" x14ac:dyDescent="0.25">
      <c r="A1268" t="str">
        <f>"1264"</f>
        <v>1264</v>
      </c>
      <c r="B1268" t="str">
        <f t="shared" si="68"/>
        <v>102</v>
      </c>
      <c r="C1268" t="str">
        <f t="shared" si="70"/>
        <v>51</v>
      </c>
      <c r="D1268" t="str">
        <f>"15"</f>
        <v>15</v>
      </c>
      <c r="E1268" t="str">
        <f>"102-51-15"</f>
        <v>102-51-15</v>
      </c>
      <c r="F1268" t="s">
        <v>27</v>
      </c>
      <c r="G1268" t="s">
        <v>28</v>
      </c>
      <c r="H1268">
        <v>1</v>
      </c>
      <c r="Q1268">
        <v>0</v>
      </c>
      <c r="R1268">
        <v>1</v>
      </c>
      <c r="S1268">
        <v>0</v>
      </c>
      <c r="T1268">
        <v>1</v>
      </c>
      <c r="U1268">
        <v>0</v>
      </c>
      <c r="V1268">
        <v>1</v>
      </c>
    </row>
    <row r="1269" spans="1:22" x14ac:dyDescent="0.25">
      <c r="A1269" t="str">
        <f>"1265"</f>
        <v>1265</v>
      </c>
      <c r="B1269" t="str">
        <f t="shared" si="68"/>
        <v>102</v>
      </c>
      <c r="C1269" t="str">
        <f t="shared" si="70"/>
        <v>51</v>
      </c>
      <c r="D1269" t="str">
        <f>"3"</f>
        <v>3</v>
      </c>
      <c r="E1269" t="str">
        <f>"102-51-3"</f>
        <v>102-51-3</v>
      </c>
      <c r="F1269" t="s">
        <v>27</v>
      </c>
      <c r="G1269" t="s">
        <v>28</v>
      </c>
      <c r="H1269">
        <v>1</v>
      </c>
      <c r="Q1269">
        <v>0</v>
      </c>
      <c r="R1269">
        <v>1</v>
      </c>
      <c r="S1269">
        <v>0</v>
      </c>
      <c r="T1269">
        <v>1</v>
      </c>
      <c r="U1269">
        <v>0</v>
      </c>
      <c r="V1269">
        <v>1</v>
      </c>
    </row>
    <row r="1270" spans="1:22" x14ac:dyDescent="0.25">
      <c r="A1270" t="str">
        <f>"1266"</f>
        <v>1266</v>
      </c>
      <c r="B1270" t="str">
        <f t="shared" si="68"/>
        <v>102</v>
      </c>
      <c r="C1270" t="str">
        <f t="shared" si="70"/>
        <v>51</v>
      </c>
      <c r="D1270" t="str">
        <f>"16"</f>
        <v>16</v>
      </c>
      <c r="E1270" t="str">
        <f>"102-51-16"</f>
        <v>102-51-16</v>
      </c>
      <c r="F1270" t="s">
        <v>27</v>
      </c>
      <c r="G1270" t="s">
        <v>28</v>
      </c>
      <c r="H1270">
        <v>1</v>
      </c>
      <c r="Q1270">
        <v>1</v>
      </c>
      <c r="R1270">
        <v>0</v>
      </c>
      <c r="S1270">
        <v>1</v>
      </c>
      <c r="T1270">
        <v>0</v>
      </c>
      <c r="U1270">
        <v>1</v>
      </c>
      <c r="V1270">
        <v>0</v>
      </c>
    </row>
    <row r="1271" spans="1:22" x14ac:dyDescent="0.25">
      <c r="A1271" t="str">
        <f>"1267"</f>
        <v>1267</v>
      </c>
      <c r="B1271" t="str">
        <f t="shared" si="68"/>
        <v>102</v>
      </c>
      <c r="C1271" t="str">
        <f t="shared" si="70"/>
        <v>51</v>
      </c>
      <c r="D1271" t="str">
        <f>"10"</f>
        <v>10</v>
      </c>
      <c r="E1271" t="str">
        <f>"102-51-10"</f>
        <v>102-51-10</v>
      </c>
      <c r="F1271" t="s">
        <v>27</v>
      </c>
      <c r="G1271" t="s">
        <v>28</v>
      </c>
      <c r="H1271">
        <v>1</v>
      </c>
      <c r="Q1271">
        <v>0</v>
      </c>
      <c r="R1271">
        <v>1</v>
      </c>
      <c r="S1271">
        <v>0</v>
      </c>
      <c r="T1271">
        <v>1</v>
      </c>
      <c r="U1271">
        <v>0</v>
      </c>
      <c r="V1271">
        <v>1</v>
      </c>
    </row>
    <row r="1272" spans="1:22" x14ac:dyDescent="0.25">
      <c r="A1272" t="str">
        <f>"1268"</f>
        <v>1268</v>
      </c>
      <c r="B1272" t="str">
        <f t="shared" si="68"/>
        <v>102</v>
      </c>
      <c r="C1272" t="str">
        <f t="shared" si="70"/>
        <v>51</v>
      </c>
      <c r="D1272" t="str">
        <f>"17"</f>
        <v>17</v>
      </c>
      <c r="E1272" t="str">
        <f>"102-51-17"</f>
        <v>102-51-17</v>
      </c>
      <c r="F1272" t="s">
        <v>27</v>
      </c>
      <c r="G1272" t="s">
        <v>28</v>
      </c>
      <c r="H1272">
        <v>1</v>
      </c>
      <c r="Q1272">
        <v>0</v>
      </c>
      <c r="R1272">
        <v>1</v>
      </c>
      <c r="S1272">
        <v>0</v>
      </c>
      <c r="T1272">
        <v>1</v>
      </c>
      <c r="U1272">
        <v>0</v>
      </c>
      <c r="V1272">
        <v>1</v>
      </c>
    </row>
    <row r="1273" spans="1:22" x14ac:dyDescent="0.25">
      <c r="A1273" t="str">
        <f>"1269"</f>
        <v>1269</v>
      </c>
      <c r="B1273" t="str">
        <f t="shared" si="68"/>
        <v>102</v>
      </c>
      <c r="C1273" t="str">
        <f t="shared" si="70"/>
        <v>51</v>
      </c>
      <c r="D1273" t="str">
        <f>"9"</f>
        <v>9</v>
      </c>
      <c r="E1273" t="str">
        <f>"102-51-9"</f>
        <v>102-51-9</v>
      </c>
      <c r="F1273" t="s">
        <v>27</v>
      </c>
      <c r="G1273" t="s">
        <v>28</v>
      </c>
      <c r="H1273">
        <v>1</v>
      </c>
      <c r="Q1273">
        <v>1</v>
      </c>
      <c r="R1273">
        <v>0</v>
      </c>
      <c r="S1273">
        <v>1</v>
      </c>
      <c r="T1273">
        <v>0</v>
      </c>
      <c r="U1273">
        <v>0</v>
      </c>
      <c r="V1273">
        <v>1</v>
      </c>
    </row>
    <row r="1274" spans="1:22" x14ac:dyDescent="0.25">
      <c r="A1274" t="str">
        <f>"1270"</f>
        <v>1270</v>
      </c>
      <c r="B1274" t="str">
        <f t="shared" si="68"/>
        <v>102</v>
      </c>
      <c r="C1274" t="str">
        <f t="shared" si="70"/>
        <v>51</v>
      </c>
      <c r="D1274" t="str">
        <f>"18"</f>
        <v>18</v>
      </c>
      <c r="E1274" t="str">
        <f>"102-51-18"</f>
        <v>102-51-18</v>
      </c>
      <c r="F1274" t="s">
        <v>27</v>
      </c>
      <c r="G1274" t="s">
        <v>28</v>
      </c>
      <c r="H1274">
        <v>1</v>
      </c>
      <c r="Q1274">
        <v>0</v>
      </c>
      <c r="R1274">
        <v>1</v>
      </c>
      <c r="S1274">
        <v>0</v>
      </c>
      <c r="T1274">
        <v>1</v>
      </c>
      <c r="U1274">
        <v>0</v>
      </c>
      <c r="V1274">
        <v>1</v>
      </c>
    </row>
    <row r="1275" spans="1:22" x14ac:dyDescent="0.25">
      <c r="A1275" t="str">
        <f>"1271"</f>
        <v>1271</v>
      </c>
      <c r="B1275" t="str">
        <f t="shared" si="68"/>
        <v>102</v>
      </c>
      <c r="C1275" t="str">
        <f t="shared" si="70"/>
        <v>51</v>
      </c>
      <c r="D1275" t="str">
        <f>"7"</f>
        <v>7</v>
      </c>
      <c r="E1275" t="str">
        <f>"102-51-7"</f>
        <v>102-51-7</v>
      </c>
      <c r="F1275" t="s">
        <v>27</v>
      </c>
      <c r="G1275" t="s">
        <v>28</v>
      </c>
      <c r="H1275">
        <v>1</v>
      </c>
      <c r="Q1275">
        <v>0</v>
      </c>
      <c r="R1275">
        <v>1</v>
      </c>
      <c r="S1275">
        <v>0</v>
      </c>
      <c r="T1275">
        <v>1</v>
      </c>
      <c r="U1275">
        <v>1</v>
      </c>
      <c r="V1275">
        <v>0</v>
      </c>
    </row>
    <row r="1276" spans="1:22" x14ac:dyDescent="0.25">
      <c r="A1276" t="str">
        <f>"1272"</f>
        <v>1272</v>
      </c>
      <c r="B1276" t="str">
        <f t="shared" si="68"/>
        <v>102</v>
      </c>
      <c r="C1276" t="str">
        <f t="shared" si="70"/>
        <v>51</v>
      </c>
      <c r="D1276" t="str">
        <f>"19"</f>
        <v>19</v>
      </c>
      <c r="E1276" t="str">
        <f>"102-51-19"</f>
        <v>102-51-19</v>
      </c>
      <c r="F1276" t="s">
        <v>27</v>
      </c>
      <c r="G1276" t="s">
        <v>28</v>
      </c>
      <c r="H1276">
        <v>1</v>
      </c>
      <c r="Q1276">
        <v>0</v>
      </c>
      <c r="R1276">
        <v>1</v>
      </c>
      <c r="S1276">
        <v>0</v>
      </c>
      <c r="T1276">
        <v>1</v>
      </c>
      <c r="U1276">
        <v>1</v>
      </c>
      <c r="V1276">
        <v>0</v>
      </c>
    </row>
    <row r="1277" spans="1:22" x14ac:dyDescent="0.25">
      <c r="A1277" t="str">
        <f>"1273"</f>
        <v>1273</v>
      </c>
      <c r="B1277" t="str">
        <f t="shared" si="68"/>
        <v>102</v>
      </c>
      <c r="C1277" t="str">
        <f t="shared" si="70"/>
        <v>51</v>
      </c>
      <c r="D1277" t="str">
        <f>"6"</f>
        <v>6</v>
      </c>
      <c r="E1277" t="str">
        <f>"102-51-6"</f>
        <v>102-51-6</v>
      </c>
      <c r="F1277" t="s">
        <v>27</v>
      </c>
      <c r="G1277" t="s">
        <v>28</v>
      </c>
      <c r="H1277">
        <v>1</v>
      </c>
      <c r="Q1277">
        <v>0</v>
      </c>
      <c r="R1277">
        <v>1</v>
      </c>
      <c r="S1277">
        <v>0</v>
      </c>
      <c r="T1277">
        <v>1</v>
      </c>
      <c r="U1277">
        <v>0</v>
      </c>
      <c r="V1277">
        <v>1</v>
      </c>
    </row>
    <row r="1278" spans="1:22" x14ac:dyDescent="0.25">
      <c r="A1278" t="str">
        <f>"1274"</f>
        <v>1274</v>
      </c>
      <c r="B1278" t="str">
        <f t="shared" si="68"/>
        <v>102</v>
      </c>
      <c r="C1278" t="str">
        <f t="shared" si="70"/>
        <v>51</v>
      </c>
      <c r="D1278" t="str">
        <f>"20"</f>
        <v>20</v>
      </c>
      <c r="E1278" t="str">
        <f>"102-51-20"</f>
        <v>102-51-20</v>
      </c>
      <c r="F1278" t="s">
        <v>27</v>
      </c>
      <c r="G1278" t="s">
        <v>28</v>
      </c>
      <c r="H1278">
        <v>1</v>
      </c>
      <c r="Q1278">
        <v>0</v>
      </c>
      <c r="R1278">
        <v>1</v>
      </c>
      <c r="S1278">
        <v>0</v>
      </c>
      <c r="T1278">
        <v>1</v>
      </c>
      <c r="U1278">
        <v>0</v>
      </c>
      <c r="V1278">
        <v>1</v>
      </c>
    </row>
    <row r="1279" spans="1:22" x14ac:dyDescent="0.25">
      <c r="A1279" t="str">
        <f>"1275"</f>
        <v>1275</v>
      </c>
      <c r="B1279" t="str">
        <f t="shared" si="68"/>
        <v>102</v>
      </c>
      <c r="C1279" t="str">
        <f t="shared" si="70"/>
        <v>51</v>
      </c>
      <c r="D1279" t="str">
        <f>"5"</f>
        <v>5</v>
      </c>
      <c r="E1279" t="str">
        <f>"102-51-5"</f>
        <v>102-51-5</v>
      </c>
      <c r="F1279" t="s">
        <v>27</v>
      </c>
      <c r="G1279" t="s">
        <v>28</v>
      </c>
      <c r="H1279">
        <v>1</v>
      </c>
      <c r="Q1279">
        <v>0</v>
      </c>
      <c r="R1279">
        <v>1</v>
      </c>
      <c r="S1279">
        <v>0</v>
      </c>
      <c r="T1279">
        <v>1</v>
      </c>
      <c r="U1279">
        <v>0</v>
      </c>
      <c r="V1279">
        <v>1</v>
      </c>
    </row>
    <row r="1280" spans="1:22" x14ac:dyDescent="0.25">
      <c r="A1280" t="str">
        <f>"1276"</f>
        <v>1276</v>
      </c>
      <c r="B1280" t="str">
        <f t="shared" si="68"/>
        <v>102</v>
      </c>
      <c r="C1280" t="str">
        <f t="shared" ref="C1280:C1304" si="71">"52"</f>
        <v>52</v>
      </c>
      <c r="D1280" t="str">
        <f>"24"</f>
        <v>24</v>
      </c>
      <c r="E1280" t="str">
        <f>"102-52-24"</f>
        <v>102-52-24</v>
      </c>
      <c r="F1280" t="s">
        <v>27</v>
      </c>
      <c r="G1280" t="s">
        <v>28</v>
      </c>
      <c r="H1280">
        <v>1</v>
      </c>
      <c r="Q1280">
        <v>0</v>
      </c>
      <c r="R1280">
        <v>1</v>
      </c>
      <c r="S1280">
        <v>0</v>
      </c>
      <c r="T1280">
        <v>1</v>
      </c>
      <c r="U1280">
        <v>1</v>
      </c>
      <c r="V1280">
        <v>0</v>
      </c>
    </row>
    <row r="1281" spans="1:22" x14ac:dyDescent="0.25">
      <c r="A1281" t="str">
        <f>"1277"</f>
        <v>1277</v>
      </c>
      <c r="B1281" t="str">
        <f t="shared" si="68"/>
        <v>102</v>
      </c>
      <c r="C1281" t="str">
        <f t="shared" si="71"/>
        <v>52</v>
      </c>
      <c r="D1281" t="str">
        <f>"23"</f>
        <v>23</v>
      </c>
      <c r="E1281" t="str">
        <f>"102-52-23"</f>
        <v>102-52-23</v>
      </c>
      <c r="F1281" t="s">
        <v>27</v>
      </c>
      <c r="G1281" t="s">
        <v>28</v>
      </c>
      <c r="H1281">
        <v>1</v>
      </c>
      <c r="Q1281">
        <v>0</v>
      </c>
      <c r="R1281">
        <v>1</v>
      </c>
      <c r="S1281">
        <v>0</v>
      </c>
      <c r="T1281">
        <v>1</v>
      </c>
      <c r="U1281">
        <v>0</v>
      </c>
      <c r="V1281">
        <v>1</v>
      </c>
    </row>
    <row r="1282" spans="1:22" x14ac:dyDescent="0.25">
      <c r="A1282" t="str">
        <f>"1278"</f>
        <v>1278</v>
      </c>
      <c r="B1282" t="str">
        <f t="shared" si="68"/>
        <v>102</v>
      </c>
      <c r="C1282" t="str">
        <f t="shared" si="71"/>
        <v>52</v>
      </c>
      <c r="D1282" t="str">
        <f>"14"</f>
        <v>14</v>
      </c>
      <c r="E1282" t="str">
        <f>"102-52-14"</f>
        <v>102-52-14</v>
      </c>
      <c r="F1282" t="s">
        <v>27</v>
      </c>
      <c r="G1282" t="s">
        <v>28</v>
      </c>
      <c r="H1282">
        <v>1</v>
      </c>
      <c r="Q1282">
        <v>0</v>
      </c>
      <c r="R1282">
        <v>1</v>
      </c>
      <c r="S1282">
        <v>0</v>
      </c>
      <c r="T1282">
        <v>1</v>
      </c>
      <c r="U1282">
        <v>0</v>
      </c>
      <c r="V1282">
        <v>1</v>
      </c>
    </row>
    <row r="1283" spans="1:22" x14ac:dyDescent="0.25">
      <c r="A1283" t="str">
        <f>"1279"</f>
        <v>1279</v>
      </c>
      <c r="B1283" t="str">
        <f t="shared" si="68"/>
        <v>102</v>
      </c>
      <c r="C1283" t="str">
        <f t="shared" si="71"/>
        <v>52</v>
      </c>
      <c r="D1283" t="str">
        <f>"11"</f>
        <v>11</v>
      </c>
      <c r="E1283" t="str">
        <f>"102-52-11"</f>
        <v>102-52-11</v>
      </c>
      <c r="F1283" t="s">
        <v>27</v>
      </c>
      <c r="G1283" t="s">
        <v>28</v>
      </c>
      <c r="H1283">
        <v>1</v>
      </c>
      <c r="Q1283">
        <v>1</v>
      </c>
      <c r="R1283">
        <v>0</v>
      </c>
      <c r="S1283">
        <v>1</v>
      </c>
      <c r="T1283">
        <v>0</v>
      </c>
      <c r="U1283">
        <v>1</v>
      </c>
      <c r="V1283">
        <v>0</v>
      </c>
    </row>
    <row r="1284" spans="1:22" x14ac:dyDescent="0.25">
      <c r="A1284" t="str">
        <f>"1280"</f>
        <v>1280</v>
      </c>
      <c r="B1284" t="str">
        <f t="shared" si="68"/>
        <v>102</v>
      </c>
      <c r="C1284" t="str">
        <f t="shared" si="71"/>
        <v>52</v>
      </c>
      <c r="D1284" t="str">
        <f>"1"</f>
        <v>1</v>
      </c>
      <c r="E1284" t="str">
        <f>"102-52-1"</f>
        <v>102-52-1</v>
      </c>
      <c r="F1284" t="s">
        <v>27</v>
      </c>
      <c r="G1284" t="s">
        <v>28</v>
      </c>
      <c r="H1284">
        <v>1</v>
      </c>
      <c r="Q1284">
        <v>0</v>
      </c>
      <c r="R1284">
        <v>1</v>
      </c>
      <c r="S1284">
        <v>0</v>
      </c>
      <c r="T1284">
        <v>1</v>
      </c>
      <c r="U1284">
        <v>1</v>
      </c>
      <c r="V1284">
        <v>0</v>
      </c>
    </row>
    <row r="1285" spans="1:22" x14ac:dyDescent="0.25">
      <c r="A1285" t="str">
        <f>"1281"</f>
        <v>1281</v>
      </c>
      <c r="B1285" t="str">
        <f t="shared" ref="B1285:B1348" si="72">"102"</f>
        <v>102</v>
      </c>
      <c r="C1285" t="str">
        <f t="shared" si="71"/>
        <v>52</v>
      </c>
      <c r="D1285" t="str">
        <f>"25"</f>
        <v>25</v>
      </c>
      <c r="E1285" t="str">
        <f>"102-52-25"</f>
        <v>102-52-25</v>
      </c>
      <c r="F1285" t="s">
        <v>27</v>
      </c>
      <c r="G1285" t="s">
        <v>28</v>
      </c>
      <c r="H1285">
        <v>1</v>
      </c>
      <c r="Q1285">
        <v>0</v>
      </c>
      <c r="R1285">
        <v>1</v>
      </c>
      <c r="S1285">
        <v>0</v>
      </c>
      <c r="T1285">
        <v>1</v>
      </c>
      <c r="U1285">
        <v>1</v>
      </c>
      <c r="V1285">
        <v>0</v>
      </c>
    </row>
    <row r="1286" spans="1:22" x14ac:dyDescent="0.25">
      <c r="A1286" t="str">
        <f>"1282"</f>
        <v>1282</v>
      </c>
      <c r="B1286" t="str">
        <f t="shared" si="72"/>
        <v>102</v>
      </c>
      <c r="C1286" t="str">
        <f t="shared" si="71"/>
        <v>52</v>
      </c>
      <c r="D1286" t="str">
        <f>"12"</f>
        <v>12</v>
      </c>
      <c r="E1286" t="str">
        <f>"102-52-12"</f>
        <v>102-52-12</v>
      </c>
      <c r="F1286" t="s">
        <v>27</v>
      </c>
      <c r="G1286" t="s">
        <v>28</v>
      </c>
      <c r="H1286">
        <v>1</v>
      </c>
      <c r="Q1286">
        <v>1</v>
      </c>
      <c r="R1286">
        <v>0</v>
      </c>
      <c r="S1286">
        <v>1</v>
      </c>
      <c r="T1286">
        <v>0</v>
      </c>
      <c r="U1286">
        <v>1</v>
      </c>
      <c r="V1286">
        <v>0</v>
      </c>
    </row>
    <row r="1287" spans="1:22" x14ac:dyDescent="0.25">
      <c r="A1287" t="str">
        <f>"1283"</f>
        <v>1283</v>
      </c>
      <c r="B1287" t="str">
        <f t="shared" si="72"/>
        <v>102</v>
      </c>
      <c r="C1287" t="str">
        <f t="shared" si="71"/>
        <v>52</v>
      </c>
      <c r="D1287" t="str">
        <f>"2"</f>
        <v>2</v>
      </c>
      <c r="E1287" t="str">
        <f>"102-52-2"</f>
        <v>102-52-2</v>
      </c>
      <c r="F1287" t="s">
        <v>27</v>
      </c>
      <c r="G1287" t="s">
        <v>28</v>
      </c>
      <c r="H1287">
        <v>1</v>
      </c>
      <c r="Q1287">
        <v>0</v>
      </c>
      <c r="R1287">
        <v>1</v>
      </c>
      <c r="S1287">
        <v>0</v>
      </c>
      <c r="T1287">
        <v>1</v>
      </c>
      <c r="U1287">
        <v>1</v>
      </c>
      <c r="V1287">
        <v>0</v>
      </c>
    </row>
    <row r="1288" spans="1:22" x14ac:dyDescent="0.25">
      <c r="A1288" t="str">
        <f>"1284"</f>
        <v>1284</v>
      </c>
      <c r="B1288" t="str">
        <f t="shared" si="72"/>
        <v>102</v>
      </c>
      <c r="C1288" t="str">
        <f t="shared" si="71"/>
        <v>52</v>
      </c>
      <c r="D1288" t="str">
        <f>"22"</f>
        <v>22</v>
      </c>
      <c r="E1288" t="str">
        <f>"102-52-22"</f>
        <v>102-52-22</v>
      </c>
      <c r="F1288" t="s">
        <v>27</v>
      </c>
      <c r="G1288" t="s">
        <v>28</v>
      </c>
      <c r="H1288">
        <v>1</v>
      </c>
      <c r="Q1288">
        <v>0</v>
      </c>
      <c r="R1288">
        <v>1</v>
      </c>
      <c r="S1288">
        <v>0</v>
      </c>
      <c r="T1288">
        <v>1</v>
      </c>
      <c r="U1288">
        <v>0</v>
      </c>
      <c r="V1288">
        <v>1</v>
      </c>
    </row>
    <row r="1289" spans="1:22" x14ac:dyDescent="0.25">
      <c r="A1289" t="str">
        <f>"1285"</f>
        <v>1285</v>
      </c>
      <c r="B1289" t="str">
        <f t="shared" si="72"/>
        <v>102</v>
      </c>
      <c r="C1289" t="str">
        <f t="shared" si="71"/>
        <v>52</v>
      </c>
      <c r="D1289" t="str">
        <f>"13"</f>
        <v>13</v>
      </c>
      <c r="E1289" t="str">
        <f>"102-52-13"</f>
        <v>102-52-13</v>
      </c>
      <c r="F1289" t="s">
        <v>27</v>
      </c>
      <c r="G1289" t="s">
        <v>28</v>
      </c>
      <c r="H1289">
        <v>1</v>
      </c>
      <c r="Q1289">
        <v>0</v>
      </c>
      <c r="R1289">
        <v>1</v>
      </c>
      <c r="S1289">
        <v>0</v>
      </c>
      <c r="T1289">
        <v>1</v>
      </c>
      <c r="U1289">
        <v>1</v>
      </c>
      <c r="V1289">
        <v>0</v>
      </c>
    </row>
    <row r="1290" spans="1:22" x14ac:dyDescent="0.25">
      <c r="A1290" t="str">
        <f>"1286"</f>
        <v>1286</v>
      </c>
      <c r="B1290" t="str">
        <f t="shared" si="72"/>
        <v>102</v>
      </c>
      <c r="C1290" t="str">
        <f t="shared" si="71"/>
        <v>52</v>
      </c>
      <c r="D1290" t="str">
        <f>"10"</f>
        <v>10</v>
      </c>
      <c r="E1290" t="str">
        <f>"102-52-10"</f>
        <v>102-52-10</v>
      </c>
      <c r="F1290" t="s">
        <v>27</v>
      </c>
      <c r="G1290" t="s">
        <v>28</v>
      </c>
      <c r="H1290">
        <v>1</v>
      </c>
      <c r="Q1290">
        <v>0</v>
      </c>
      <c r="R1290">
        <v>1</v>
      </c>
      <c r="S1290">
        <v>0</v>
      </c>
      <c r="T1290">
        <v>1</v>
      </c>
      <c r="U1290">
        <v>0</v>
      </c>
      <c r="V1290">
        <v>1</v>
      </c>
    </row>
    <row r="1291" spans="1:22" x14ac:dyDescent="0.25">
      <c r="A1291" t="str">
        <f>"1287"</f>
        <v>1287</v>
      </c>
      <c r="B1291" t="str">
        <f t="shared" si="72"/>
        <v>102</v>
      </c>
      <c r="C1291" t="str">
        <f t="shared" si="71"/>
        <v>52</v>
      </c>
      <c r="D1291" t="str">
        <f>"15"</f>
        <v>15</v>
      </c>
      <c r="E1291" t="str">
        <f>"102-52-15"</f>
        <v>102-52-15</v>
      </c>
      <c r="F1291" t="s">
        <v>27</v>
      </c>
      <c r="G1291" t="s">
        <v>28</v>
      </c>
      <c r="H1291">
        <v>1</v>
      </c>
      <c r="Q1291">
        <v>1</v>
      </c>
      <c r="R1291">
        <v>0</v>
      </c>
      <c r="S1291">
        <v>1</v>
      </c>
      <c r="T1291">
        <v>0</v>
      </c>
      <c r="U1291">
        <v>0</v>
      </c>
      <c r="V1291">
        <v>1</v>
      </c>
    </row>
    <row r="1292" spans="1:22" x14ac:dyDescent="0.25">
      <c r="A1292" t="str">
        <f>"1288"</f>
        <v>1288</v>
      </c>
      <c r="B1292" t="str">
        <f t="shared" si="72"/>
        <v>102</v>
      </c>
      <c r="C1292" t="str">
        <f t="shared" si="71"/>
        <v>52</v>
      </c>
      <c r="D1292" t="str">
        <f>"4"</f>
        <v>4</v>
      </c>
      <c r="E1292" t="str">
        <f>"102-52-4"</f>
        <v>102-52-4</v>
      </c>
      <c r="F1292" t="s">
        <v>27</v>
      </c>
      <c r="G1292" t="s">
        <v>28</v>
      </c>
      <c r="H1292">
        <v>1</v>
      </c>
      <c r="Q1292">
        <v>0</v>
      </c>
      <c r="R1292">
        <v>1</v>
      </c>
      <c r="S1292">
        <v>0</v>
      </c>
      <c r="T1292">
        <v>1</v>
      </c>
      <c r="U1292">
        <v>0</v>
      </c>
      <c r="V1292">
        <v>1</v>
      </c>
    </row>
    <row r="1293" spans="1:22" x14ac:dyDescent="0.25">
      <c r="A1293" t="str">
        <f>"1289"</f>
        <v>1289</v>
      </c>
      <c r="B1293" t="str">
        <f t="shared" si="72"/>
        <v>102</v>
      </c>
      <c r="C1293" t="str">
        <f t="shared" si="71"/>
        <v>52</v>
      </c>
      <c r="D1293" t="str">
        <f>"16"</f>
        <v>16</v>
      </c>
      <c r="E1293" t="str">
        <f>"102-52-16"</f>
        <v>102-52-16</v>
      </c>
      <c r="F1293" t="s">
        <v>27</v>
      </c>
      <c r="G1293" t="s">
        <v>28</v>
      </c>
      <c r="H1293">
        <v>1</v>
      </c>
      <c r="Q1293">
        <v>1</v>
      </c>
      <c r="R1293">
        <v>0</v>
      </c>
      <c r="S1293">
        <v>0</v>
      </c>
      <c r="T1293">
        <v>1</v>
      </c>
      <c r="U1293">
        <v>1</v>
      </c>
      <c r="V1293">
        <v>0</v>
      </c>
    </row>
    <row r="1294" spans="1:22" x14ac:dyDescent="0.25">
      <c r="A1294" t="str">
        <f>"1290"</f>
        <v>1290</v>
      </c>
      <c r="B1294" t="str">
        <f t="shared" si="72"/>
        <v>102</v>
      </c>
      <c r="C1294" t="str">
        <f t="shared" si="71"/>
        <v>52</v>
      </c>
      <c r="D1294" t="str">
        <f>"6"</f>
        <v>6</v>
      </c>
      <c r="E1294" t="str">
        <f>"102-52-6"</f>
        <v>102-52-6</v>
      </c>
      <c r="F1294" t="s">
        <v>27</v>
      </c>
      <c r="G1294" t="s">
        <v>28</v>
      </c>
      <c r="H1294">
        <v>1</v>
      </c>
      <c r="Q1294">
        <v>0</v>
      </c>
      <c r="R1294">
        <v>1</v>
      </c>
      <c r="S1294">
        <v>0</v>
      </c>
      <c r="T1294">
        <v>1</v>
      </c>
      <c r="U1294">
        <v>0</v>
      </c>
      <c r="V1294">
        <v>1</v>
      </c>
    </row>
    <row r="1295" spans="1:22" x14ac:dyDescent="0.25">
      <c r="A1295" t="str">
        <f>"1291"</f>
        <v>1291</v>
      </c>
      <c r="B1295" t="str">
        <f t="shared" si="72"/>
        <v>102</v>
      </c>
      <c r="C1295" t="str">
        <f t="shared" si="71"/>
        <v>52</v>
      </c>
      <c r="D1295" t="str">
        <f>"17"</f>
        <v>17</v>
      </c>
      <c r="E1295" t="str">
        <f>"102-52-17"</f>
        <v>102-52-17</v>
      </c>
      <c r="F1295" t="s">
        <v>27</v>
      </c>
      <c r="G1295" t="s">
        <v>28</v>
      </c>
      <c r="H1295">
        <v>1</v>
      </c>
      <c r="Q1295">
        <v>0</v>
      </c>
      <c r="R1295">
        <v>1</v>
      </c>
      <c r="S1295">
        <v>0</v>
      </c>
      <c r="T1295">
        <v>0</v>
      </c>
      <c r="U1295">
        <v>0</v>
      </c>
      <c r="V1295">
        <v>1</v>
      </c>
    </row>
    <row r="1296" spans="1:22" x14ac:dyDescent="0.25">
      <c r="A1296" t="str">
        <f>"1292"</f>
        <v>1292</v>
      </c>
      <c r="B1296" t="str">
        <f t="shared" si="72"/>
        <v>102</v>
      </c>
      <c r="C1296" t="str">
        <f t="shared" si="71"/>
        <v>52</v>
      </c>
      <c r="D1296" t="str">
        <f>"3"</f>
        <v>3</v>
      </c>
      <c r="E1296" t="str">
        <f>"102-52-3"</f>
        <v>102-52-3</v>
      </c>
      <c r="F1296" t="s">
        <v>27</v>
      </c>
      <c r="G1296" t="s">
        <v>28</v>
      </c>
      <c r="H1296">
        <v>1</v>
      </c>
      <c r="Q1296">
        <v>1</v>
      </c>
      <c r="R1296">
        <v>0</v>
      </c>
      <c r="S1296">
        <v>1</v>
      </c>
      <c r="T1296">
        <v>0</v>
      </c>
      <c r="U1296">
        <v>1</v>
      </c>
      <c r="V1296">
        <v>0</v>
      </c>
    </row>
    <row r="1297" spans="1:22" x14ac:dyDescent="0.25">
      <c r="A1297" t="str">
        <f>"1293"</f>
        <v>1293</v>
      </c>
      <c r="B1297" t="str">
        <f t="shared" si="72"/>
        <v>102</v>
      </c>
      <c r="C1297" t="str">
        <f t="shared" si="71"/>
        <v>52</v>
      </c>
      <c r="D1297" t="str">
        <f>"18"</f>
        <v>18</v>
      </c>
      <c r="E1297" t="str">
        <f>"102-52-18"</f>
        <v>102-52-18</v>
      </c>
      <c r="F1297" t="s">
        <v>27</v>
      </c>
      <c r="G1297" t="s">
        <v>28</v>
      </c>
      <c r="H1297">
        <v>1</v>
      </c>
      <c r="Q1297">
        <v>0</v>
      </c>
      <c r="R1297">
        <v>1</v>
      </c>
      <c r="S1297">
        <v>0</v>
      </c>
      <c r="T1297">
        <v>0</v>
      </c>
      <c r="U1297">
        <v>0</v>
      </c>
      <c r="V1297">
        <v>1</v>
      </c>
    </row>
    <row r="1298" spans="1:22" x14ac:dyDescent="0.25">
      <c r="A1298" t="str">
        <f>"1294"</f>
        <v>1294</v>
      </c>
      <c r="B1298" t="str">
        <f t="shared" si="72"/>
        <v>102</v>
      </c>
      <c r="C1298" t="str">
        <f t="shared" si="71"/>
        <v>52</v>
      </c>
      <c r="D1298" t="str">
        <f>"8"</f>
        <v>8</v>
      </c>
      <c r="E1298" t="str">
        <f>"102-52-8"</f>
        <v>102-52-8</v>
      </c>
      <c r="F1298" t="s">
        <v>27</v>
      </c>
      <c r="G1298" t="s">
        <v>28</v>
      </c>
      <c r="H1298">
        <v>1</v>
      </c>
      <c r="Q1298">
        <v>0</v>
      </c>
      <c r="R1298">
        <v>1</v>
      </c>
      <c r="S1298">
        <v>0</v>
      </c>
      <c r="T1298">
        <v>1</v>
      </c>
      <c r="U1298">
        <v>0</v>
      </c>
      <c r="V1298">
        <v>1</v>
      </c>
    </row>
    <row r="1299" spans="1:22" x14ac:dyDescent="0.25">
      <c r="A1299" t="str">
        <f>"1295"</f>
        <v>1295</v>
      </c>
      <c r="B1299" t="str">
        <f t="shared" si="72"/>
        <v>102</v>
      </c>
      <c r="C1299" t="str">
        <f t="shared" si="71"/>
        <v>52</v>
      </c>
      <c r="D1299" t="str">
        <f>"19"</f>
        <v>19</v>
      </c>
      <c r="E1299" t="str">
        <f>"102-52-19"</f>
        <v>102-52-19</v>
      </c>
      <c r="F1299" t="s">
        <v>27</v>
      </c>
      <c r="G1299" t="s">
        <v>28</v>
      </c>
      <c r="H1299">
        <v>1</v>
      </c>
      <c r="Q1299">
        <v>0</v>
      </c>
      <c r="R1299">
        <v>1</v>
      </c>
      <c r="S1299">
        <v>0</v>
      </c>
      <c r="T1299">
        <v>1</v>
      </c>
      <c r="U1299">
        <v>1</v>
      </c>
      <c r="V1299">
        <v>0</v>
      </c>
    </row>
    <row r="1300" spans="1:22" x14ac:dyDescent="0.25">
      <c r="A1300" t="str">
        <f>"1296"</f>
        <v>1296</v>
      </c>
      <c r="B1300" t="str">
        <f t="shared" si="72"/>
        <v>102</v>
      </c>
      <c r="C1300" t="str">
        <f t="shared" si="71"/>
        <v>52</v>
      </c>
      <c r="D1300" t="str">
        <f>"9"</f>
        <v>9</v>
      </c>
      <c r="E1300" t="str">
        <f>"102-52-9"</f>
        <v>102-52-9</v>
      </c>
      <c r="F1300" t="s">
        <v>27</v>
      </c>
      <c r="G1300" t="s">
        <v>28</v>
      </c>
      <c r="H1300">
        <v>1</v>
      </c>
      <c r="Q1300">
        <v>1</v>
      </c>
      <c r="R1300">
        <v>0</v>
      </c>
      <c r="S1300">
        <v>1</v>
      </c>
      <c r="T1300">
        <v>0</v>
      </c>
      <c r="U1300">
        <v>0</v>
      </c>
      <c r="V1300">
        <v>0</v>
      </c>
    </row>
    <row r="1301" spans="1:22" x14ac:dyDescent="0.25">
      <c r="A1301" t="str">
        <f>"1297"</f>
        <v>1297</v>
      </c>
      <c r="B1301" t="str">
        <f t="shared" si="72"/>
        <v>102</v>
      </c>
      <c r="C1301" t="str">
        <f t="shared" si="71"/>
        <v>52</v>
      </c>
      <c r="D1301" t="str">
        <f>"20"</f>
        <v>20</v>
      </c>
      <c r="E1301" t="str">
        <f>"102-52-20"</f>
        <v>102-52-20</v>
      </c>
      <c r="F1301" t="s">
        <v>27</v>
      </c>
      <c r="G1301" t="s">
        <v>28</v>
      </c>
      <c r="H1301">
        <v>1</v>
      </c>
      <c r="Q1301">
        <v>0</v>
      </c>
      <c r="R1301">
        <v>1</v>
      </c>
      <c r="S1301">
        <v>0</v>
      </c>
      <c r="T1301">
        <v>1</v>
      </c>
      <c r="U1301">
        <v>0</v>
      </c>
      <c r="V1301">
        <v>1</v>
      </c>
    </row>
    <row r="1302" spans="1:22" x14ac:dyDescent="0.25">
      <c r="A1302" t="str">
        <f>"1298"</f>
        <v>1298</v>
      </c>
      <c r="B1302" t="str">
        <f t="shared" si="72"/>
        <v>102</v>
      </c>
      <c r="C1302" t="str">
        <f t="shared" si="71"/>
        <v>52</v>
      </c>
      <c r="D1302" t="str">
        <f>"5"</f>
        <v>5</v>
      </c>
      <c r="E1302" t="str">
        <f>"102-52-5"</f>
        <v>102-52-5</v>
      </c>
      <c r="F1302" t="s">
        <v>27</v>
      </c>
      <c r="G1302" t="s">
        <v>28</v>
      </c>
      <c r="H1302">
        <v>1</v>
      </c>
      <c r="Q1302">
        <v>1</v>
      </c>
      <c r="R1302">
        <v>0</v>
      </c>
      <c r="S1302">
        <v>1</v>
      </c>
      <c r="T1302">
        <v>0</v>
      </c>
      <c r="U1302">
        <v>1</v>
      </c>
      <c r="V1302">
        <v>0</v>
      </c>
    </row>
    <row r="1303" spans="1:22" x14ac:dyDescent="0.25">
      <c r="A1303" t="str">
        <f>"1299"</f>
        <v>1299</v>
      </c>
      <c r="B1303" t="str">
        <f t="shared" si="72"/>
        <v>102</v>
      </c>
      <c r="C1303" t="str">
        <f t="shared" si="71"/>
        <v>52</v>
      </c>
      <c r="D1303" t="str">
        <f>"21"</f>
        <v>21</v>
      </c>
      <c r="E1303" t="str">
        <f>"102-52-21"</f>
        <v>102-52-21</v>
      </c>
      <c r="F1303" t="s">
        <v>27</v>
      </c>
      <c r="G1303" t="s">
        <v>28</v>
      </c>
      <c r="H1303">
        <v>1</v>
      </c>
      <c r="Q1303">
        <v>1</v>
      </c>
      <c r="R1303">
        <v>0</v>
      </c>
      <c r="S1303">
        <v>1</v>
      </c>
      <c r="T1303">
        <v>0</v>
      </c>
      <c r="U1303">
        <v>1</v>
      </c>
      <c r="V1303">
        <v>0</v>
      </c>
    </row>
    <row r="1304" spans="1:22" x14ac:dyDescent="0.25">
      <c r="A1304" t="str">
        <f>"1300"</f>
        <v>1300</v>
      </c>
      <c r="B1304" t="str">
        <f t="shared" si="72"/>
        <v>102</v>
      </c>
      <c r="C1304" t="str">
        <f t="shared" si="71"/>
        <v>52</v>
      </c>
      <c r="D1304" t="str">
        <f>"7"</f>
        <v>7</v>
      </c>
      <c r="E1304" t="str">
        <f>"102-52-7"</f>
        <v>102-52-7</v>
      </c>
      <c r="F1304" t="s">
        <v>27</v>
      </c>
      <c r="G1304" t="s">
        <v>28</v>
      </c>
      <c r="H1304">
        <v>1</v>
      </c>
      <c r="Q1304">
        <v>0</v>
      </c>
      <c r="R1304">
        <v>1</v>
      </c>
      <c r="S1304">
        <v>0</v>
      </c>
      <c r="T1304">
        <v>1</v>
      </c>
      <c r="U1304">
        <v>0</v>
      </c>
      <c r="V1304">
        <v>1</v>
      </c>
    </row>
    <row r="1305" spans="1:22" x14ac:dyDescent="0.25">
      <c r="A1305" t="str">
        <f>"1301"</f>
        <v>1301</v>
      </c>
      <c r="B1305" t="str">
        <f t="shared" si="72"/>
        <v>102</v>
      </c>
      <c r="C1305" t="str">
        <f t="shared" ref="C1305:C1329" si="73">"53"</f>
        <v>53</v>
      </c>
      <c r="D1305" t="str">
        <f>"11"</f>
        <v>11</v>
      </c>
      <c r="E1305" t="str">
        <f>"102-53-11"</f>
        <v>102-53-11</v>
      </c>
      <c r="F1305" t="s">
        <v>27</v>
      </c>
      <c r="G1305" t="s">
        <v>28</v>
      </c>
      <c r="H1305">
        <v>1</v>
      </c>
      <c r="Q1305">
        <v>0</v>
      </c>
      <c r="R1305">
        <v>1</v>
      </c>
      <c r="S1305">
        <v>0</v>
      </c>
      <c r="T1305">
        <v>1</v>
      </c>
      <c r="U1305">
        <v>1</v>
      </c>
      <c r="V1305">
        <v>0</v>
      </c>
    </row>
    <row r="1306" spans="1:22" x14ac:dyDescent="0.25">
      <c r="A1306" t="str">
        <f>"1302"</f>
        <v>1302</v>
      </c>
      <c r="B1306" t="str">
        <f t="shared" si="72"/>
        <v>102</v>
      </c>
      <c r="C1306" t="str">
        <f t="shared" si="73"/>
        <v>53</v>
      </c>
      <c r="D1306" t="str">
        <f>"2"</f>
        <v>2</v>
      </c>
      <c r="E1306" t="str">
        <f>"102-53-2"</f>
        <v>102-53-2</v>
      </c>
      <c r="F1306" t="s">
        <v>27</v>
      </c>
      <c r="G1306" t="s">
        <v>28</v>
      </c>
      <c r="H1306">
        <v>1</v>
      </c>
      <c r="Q1306">
        <v>0</v>
      </c>
      <c r="R1306">
        <v>1</v>
      </c>
      <c r="S1306">
        <v>0</v>
      </c>
      <c r="T1306">
        <v>1</v>
      </c>
      <c r="U1306">
        <v>0</v>
      </c>
      <c r="V1306">
        <v>1</v>
      </c>
    </row>
    <row r="1307" spans="1:22" x14ac:dyDescent="0.25">
      <c r="A1307" t="str">
        <f>"1303"</f>
        <v>1303</v>
      </c>
      <c r="B1307" t="str">
        <f t="shared" si="72"/>
        <v>102</v>
      </c>
      <c r="C1307" t="str">
        <f t="shared" si="73"/>
        <v>53</v>
      </c>
      <c r="D1307" t="str">
        <f>"24"</f>
        <v>24</v>
      </c>
      <c r="E1307" t="str">
        <f>"102-53-24"</f>
        <v>102-53-24</v>
      </c>
      <c r="F1307" t="s">
        <v>27</v>
      </c>
      <c r="G1307" t="s">
        <v>28</v>
      </c>
      <c r="H1307">
        <v>1</v>
      </c>
      <c r="Q1307">
        <v>0</v>
      </c>
      <c r="R1307">
        <v>1</v>
      </c>
      <c r="S1307">
        <v>0</v>
      </c>
      <c r="T1307">
        <v>1</v>
      </c>
      <c r="U1307">
        <v>0</v>
      </c>
      <c r="V1307">
        <v>1</v>
      </c>
    </row>
    <row r="1308" spans="1:22" x14ac:dyDescent="0.25">
      <c r="A1308" t="str">
        <f>"1304"</f>
        <v>1304</v>
      </c>
      <c r="B1308" t="str">
        <f t="shared" si="72"/>
        <v>102</v>
      </c>
      <c r="C1308" t="str">
        <f t="shared" si="73"/>
        <v>53</v>
      </c>
      <c r="D1308" t="str">
        <f>"12"</f>
        <v>12</v>
      </c>
      <c r="E1308" t="str">
        <f>"102-53-12"</f>
        <v>102-53-12</v>
      </c>
      <c r="F1308" t="s">
        <v>27</v>
      </c>
      <c r="G1308" t="s">
        <v>28</v>
      </c>
      <c r="H1308">
        <v>1</v>
      </c>
      <c r="Q1308">
        <v>1</v>
      </c>
      <c r="R1308">
        <v>0</v>
      </c>
      <c r="S1308">
        <v>0</v>
      </c>
      <c r="T1308">
        <v>1</v>
      </c>
      <c r="U1308">
        <v>0</v>
      </c>
      <c r="V1308">
        <v>1</v>
      </c>
    </row>
    <row r="1309" spans="1:22" x14ac:dyDescent="0.25">
      <c r="A1309" t="str">
        <f>"1305"</f>
        <v>1305</v>
      </c>
      <c r="B1309" t="str">
        <f t="shared" si="72"/>
        <v>102</v>
      </c>
      <c r="C1309" t="str">
        <f t="shared" si="73"/>
        <v>53</v>
      </c>
      <c r="D1309" t="str">
        <f>"5"</f>
        <v>5</v>
      </c>
      <c r="E1309" t="str">
        <f>"102-53-5"</f>
        <v>102-53-5</v>
      </c>
      <c r="F1309" t="s">
        <v>27</v>
      </c>
      <c r="G1309" t="s">
        <v>28</v>
      </c>
      <c r="H1309">
        <v>1</v>
      </c>
      <c r="Q1309">
        <v>1</v>
      </c>
      <c r="R1309">
        <v>0</v>
      </c>
      <c r="S1309">
        <v>0</v>
      </c>
      <c r="T1309">
        <v>1</v>
      </c>
      <c r="U1309">
        <v>0</v>
      </c>
      <c r="V1309">
        <v>1</v>
      </c>
    </row>
    <row r="1310" spans="1:22" x14ac:dyDescent="0.25">
      <c r="A1310" t="str">
        <f>"1306"</f>
        <v>1306</v>
      </c>
      <c r="B1310" t="str">
        <f t="shared" si="72"/>
        <v>102</v>
      </c>
      <c r="C1310" t="str">
        <f t="shared" si="73"/>
        <v>53</v>
      </c>
      <c r="D1310" t="str">
        <f>"13"</f>
        <v>13</v>
      </c>
      <c r="E1310" t="str">
        <f>"102-53-13"</f>
        <v>102-53-13</v>
      </c>
      <c r="F1310" t="s">
        <v>27</v>
      </c>
      <c r="G1310" t="s">
        <v>28</v>
      </c>
      <c r="H1310">
        <v>1</v>
      </c>
      <c r="Q1310">
        <v>1</v>
      </c>
      <c r="R1310">
        <v>0</v>
      </c>
      <c r="S1310">
        <v>1</v>
      </c>
      <c r="T1310">
        <v>0</v>
      </c>
      <c r="U1310">
        <v>1</v>
      </c>
      <c r="V1310">
        <v>0</v>
      </c>
    </row>
    <row r="1311" spans="1:22" x14ac:dyDescent="0.25">
      <c r="A1311" t="str">
        <f>"1307"</f>
        <v>1307</v>
      </c>
      <c r="B1311" t="str">
        <f t="shared" si="72"/>
        <v>102</v>
      </c>
      <c r="C1311" t="str">
        <f t="shared" si="73"/>
        <v>53</v>
      </c>
      <c r="D1311" t="str">
        <f>"1"</f>
        <v>1</v>
      </c>
      <c r="E1311" t="str">
        <f>"102-53-1"</f>
        <v>102-53-1</v>
      </c>
      <c r="F1311" t="s">
        <v>27</v>
      </c>
      <c r="G1311" t="s">
        <v>28</v>
      </c>
      <c r="H1311">
        <v>1</v>
      </c>
      <c r="Q1311">
        <v>0</v>
      </c>
      <c r="R1311">
        <v>1</v>
      </c>
      <c r="S1311">
        <v>0</v>
      </c>
      <c r="T1311">
        <v>1</v>
      </c>
      <c r="U1311">
        <v>1</v>
      </c>
      <c r="V1311">
        <v>0</v>
      </c>
    </row>
    <row r="1312" spans="1:22" x14ac:dyDescent="0.25">
      <c r="A1312" t="str">
        <f>"1308"</f>
        <v>1308</v>
      </c>
      <c r="B1312" t="str">
        <f t="shared" si="72"/>
        <v>102</v>
      </c>
      <c r="C1312" t="str">
        <f t="shared" si="73"/>
        <v>53</v>
      </c>
      <c r="D1312" t="str">
        <f>"23"</f>
        <v>23</v>
      </c>
      <c r="E1312" t="str">
        <f>"102-53-23"</f>
        <v>102-53-23</v>
      </c>
      <c r="F1312" t="s">
        <v>27</v>
      </c>
      <c r="G1312" t="s">
        <v>28</v>
      </c>
      <c r="H1312">
        <v>1</v>
      </c>
      <c r="Q1312">
        <v>1</v>
      </c>
      <c r="R1312">
        <v>0</v>
      </c>
      <c r="S1312">
        <v>1</v>
      </c>
      <c r="T1312">
        <v>0</v>
      </c>
      <c r="U1312">
        <v>1</v>
      </c>
      <c r="V1312">
        <v>0</v>
      </c>
    </row>
    <row r="1313" spans="1:22" x14ac:dyDescent="0.25">
      <c r="A1313" t="str">
        <f>"1309"</f>
        <v>1309</v>
      </c>
      <c r="B1313" t="str">
        <f t="shared" si="72"/>
        <v>102</v>
      </c>
      <c r="C1313" t="str">
        <f t="shared" si="73"/>
        <v>53</v>
      </c>
      <c r="D1313" t="str">
        <f>"15"</f>
        <v>15</v>
      </c>
      <c r="E1313" t="str">
        <f>"102-53-15"</f>
        <v>102-53-15</v>
      </c>
      <c r="F1313" t="s">
        <v>27</v>
      </c>
      <c r="G1313" t="s">
        <v>28</v>
      </c>
      <c r="H1313">
        <v>1</v>
      </c>
      <c r="Q1313">
        <v>0</v>
      </c>
      <c r="R1313">
        <v>1</v>
      </c>
      <c r="S1313">
        <v>0</v>
      </c>
      <c r="T1313">
        <v>1</v>
      </c>
      <c r="U1313">
        <v>0</v>
      </c>
      <c r="V1313">
        <v>1</v>
      </c>
    </row>
    <row r="1314" spans="1:22" x14ac:dyDescent="0.25">
      <c r="A1314" t="str">
        <f>"1310"</f>
        <v>1310</v>
      </c>
      <c r="B1314" t="str">
        <f t="shared" si="72"/>
        <v>102</v>
      </c>
      <c r="C1314" t="str">
        <f t="shared" si="73"/>
        <v>53</v>
      </c>
      <c r="D1314" t="str">
        <f>"6"</f>
        <v>6</v>
      </c>
      <c r="E1314" t="str">
        <f>"102-53-6"</f>
        <v>102-53-6</v>
      </c>
      <c r="F1314" t="s">
        <v>27</v>
      </c>
      <c r="G1314" t="s">
        <v>28</v>
      </c>
      <c r="H1314">
        <v>1</v>
      </c>
      <c r="Q1314">
        <v>0</v>
      </c>
      <c r="R1314">
        <v>1</v>
      </c>
      <c r="S1314">
        <v>0</v>
      </c>
      <c r="T1314">
        <v>1</v>
      </c>
      <c r="U1314">
        <v>0</v>
      </c>
      <c r="V1314">
        <v>1</v>
      </c>
    </row>
    <row r="1315" spans="1:22" x14ac:dyDescent="0.25">
      <c r="A1315" t="str">
        <f>"1311"</f>
        <v>1311</v>
      </c>
      <c r="B1315" t="str">
        <f t="shared" si="72"/>
        <v>102</v>
      </c>
      <c r="C1315" t="str">
        <f t="shared" si="73"/>
        <v>53</v>
      </c>
      <c r="D1315" t="str">
        <f>"25"</f>
        <v>25</v>
      </c>
      <c r="E1315" t="str">
        <f>"102-53-25"</f>
        <v>102-53-25</v>
      </c>
      <c r="F1315" t="s">
        <v>27</v>
      </c>
      <c r="G1315" t="s">
        <v>28</v>
      </c>
      <c r="H1315">
        <v>1</v>
      </c>
      <c r="Q1315">
        <v>1</v>
      </c>
      <c r="R1315">
        <v>0</v>
      </c>
      <c r="S1315">
        <v>1</v>
      </c>
      <c r="T1315">
        <v>0</v>
      </c>
      <c r="U1315">
        <v>1</v>
      </c>
      <c r="V1315">
        <v>0</v>
      </c>
    </row>
    <row r="1316" spans="1:22" x14ac:dyDescent="0.25">
      <c r="A1316" t="str">
        <f>"1312"</f>
        <v>1312</v>
      </c>
      <c r="B1316" t="str">
        <f t="shared" si="72"/>
        <v>102</v>
      </c>
      <c r="C1316" t="str">
        <f t="shared" si="73"/>
        <v>53</v>
      </c>
      <c r="D1316" t="str">
        <f>"14"</f>
        <v>14</v>
      </c>
      <c r="E1316" t="str">
        <f>"102-53-14"</f>
        <v>102-53-14</v>
      </c>
      <c r="F1316" t="s">
        <v>27</v>
      </c>
      <c r="G1316" t="s">
        <v>28</v>
      </c>
      <c r="H1316">
        <v>1</v>
      </c>
      <c r="Q1316">
        <v>1</v>
      </c>
      <c r="R1316">
        <v>0</v>
      </c>
      <c r="S1316">
        <v>1</v>
      </c>
      <c r="T1316">
        <v>0</v>
      </c>
      <c r="U1316">
        <v>0</v>
      </c>
      <c r="V1316">
        <v>0</v>
      </c>
    </row>
    <row r="1317" spans="1:22" x14ac:dyDescent="0.25">
      <c r="A1317" t="str">
        <f>"1313"</f>
        <v>1313</v>
      </c>
      <c r="B1317" t="str">
        <f t="shared" si="72"/>
        <v>102</v>
      </c>
      <c r="C1317" t="str">
        <f t="shared" si="73"/>
        <v>53</v>
      </c>
      <c r="D1317" t="str">
        <f>"7"</f>
        <v>7</v>
      </c>
      <c r="E1317" t="str">
        <f>"102-53-7"</f>
        <v>102-53-7</v>
      </c>
      <c r="F1317" t="s">
        <v>27</v>
      </c>
      <c r="G1317" t="s">
        <v>28</v>
      </c>
      <c r="H1317">
        <v>1</v>
      </c>
      <c r="Q1317">
        <v>1</v>
      </c>
      <c r="R1317">
        <v>0</v>
      </c>
      <c r="S1317">
        <v>1</v>
      </c>
      <c r="T1317">
        <v>0</v>
      </c>
      <c r="U1317">
        <v>0</v>
      </c>
      <c r="V1317">
        <v>1</v>
      </c>
    </row>
    <row r="1318" spans="1:22" x14ac:dyDescent="0.25">
      <c r="A1318" t="str">
        <f>"1314"</f>
        <v>1314</v>
      </c>
      <c r="B1318" t="str">
        <f t="shared" si="72"/>
        <v>102</v>
      </c>
      <c r="C1318" t="str">
        <f t="shared" si="73"/>
        <v>53</v>
      </c>
      <c r="D1318" t="str">
        <f>"21"</f>
        <v>21</v>
      </c>
      <c r="E1318" t="str">
        <f>"102-53-21"</f>
        <v>102-53-21</v>
      </c>
      <c r="F1318" t="s">
        <v>27</v>
      </c>
      <c r="G1318" t="s">
        <v>28</v>
      </c>
      <c r="H1318">
        <v>1</v>
      </c>
      <c r="Q1318">
        <v>0</v>
      </c>
      <c r="R1318">
        <v>1</v>
      </c>
      <c r="S1318">
        <v>0</v>
      </c>
      <c r="T1318">
        <v>1</v>
      </c>
      <c r="U1318">
        <v>1</v>
      </c>
      <c r="V1318">
        <v>0</v>
      </c>
    </row>
    <row r="1319" spans="1:22" x14ac:dyDescent="0.25">
      <c r="A1319" t="str">
        <f>"1315"</f>
        <v>1315</v>
      </c>
      <c r="B1319" t="str">
        <f t="shared" si="72"/>
        <v>102</v>
      </c>
      <c r="C1319" t="str">
        <f t="shared" si="73"/>
        <v>53</v>
      </c>
      <c r="D1319" t="str">
        <f>"16"</f>
        <v>16</v>
      </c>
      <c r="E1319" t="str">
        <f>"102-53-16"</f>
        <v>102-53-16</v>
      </c>
      <c r="F1319" t="s">
        <v>27</v>
      </c>
      <c r="G1319" t="s">
        <v>28</v>
      </c>
      <c r="H1319">
        <v>1</v>
      </c>
      <c r="Q1319">
        <v>1</v>
      </c>
      <c r="R1319">
        <v>0</v>
      </c>
      <c r="S1319">
        <v>1</v>
      </c>
      <c r="T1319">
        <v>0</v>
      </c>
      <c r="U1319">
        <v>1</v>
      </c>
      <c r="V1319">
        <v>0</v>
      </c>
    </row>
    <row r="1320" spans="1:22" x14ac:dyDescent="0.25">
      <c r="A1320" t="str">
        <f>"1316"</f>
        <v>1316</v>
      </c>
      <c r="B1320" t="str">
        <f t="shared" si="72"/>
        <v>102</v>
      </c>
      <c r="C1320" t="str">
        <f t="shared" si="73"/>
        <v>53</v>
      </c>
      <c r="D1320" t="str">
        <f>"4"</f>
        <v>4</v>
      </c>
      <c r="E1320" t="str">
        <f>"102-53-4"</f>
        <v>102-53-4</v>
      </c>
      <c r="F1320" t="s">
        <v>27</v>
      </c>
      <c r="G1320" t="s">
        <v>28</v>
      </c>
      <c r="H1320">
        <v>1</v>
      </c>
      <c r="Q1320">
        <v>1</v>
      </c>
      <c r="R1320">
        <v>0</v>
      </c>
      <c r="S1320">
        <v>1</v>
      </c>
      <c r="T1320">
        <v>0</v>
      </c>
      <c r="U1320">
        <v>1</v>
      </c>
      <c r="V1320">
        <v>0</v>
      </c>
    </row>
    <row r="1321" spans="1:22" x14ac:dyDescent="0.25">
      <c r="A1321" t="str">
        <f>"1317"</f>
        <v>1317</v>
      </c>
      <c r="B1321" t="str">
        <f t="shared" si="72"/>
        <v>102</v>
      </c>
      <c r="C1321" t="str">
        <f t="shared" si="73"/>
        <v>53</v>
      </c>
      <c r="D1321" t="str">
        <f>"22"</f>
        <v>22</v>
      </c>
      <c r="E1321" t="str">
        <f>"102-53-22"</f>
        <v>102-53-22</v>
      </c>
      <c r="F1321" t="s">
        <v>27</v>
      </c>
      <c r="G1321" t="s">
        <v>28</v>
      </c>
      <c r="H1321">
        <v>1</v>
      </c>
      <c r="Q1321">
        <v>1</v>
      </c>
      <c r="R1321">
        <v>0</v>
      </c>
      <c r="S1321">
        <v>0</v>
      </c>
      <c r="T1321">
        <v>1</v>
      </c>
      <c r="U1321">
        <v>0</v>
      </c>
      <c r="V1321">
        <v>1</v>
      </c>
    </row>
    <row r="1322" spans="1:22" x14ac:dyDescent="0.25">
      <c r="A1322" t="str">
        <f>"1318"</f>
        <v>1318</v>
      </c>
      <c r="B1322" t="str">
        <f t="shared" si="72"/>
        <v>102</v>
      </c>
      <c r="C1322" t="str">
        <f t="shared" si="73"/>
        <v>53</v>
      </c>
      <c r="D1322" t="str">
        <f>"17"</f>
        <v>17</v>
      </c>
      <c r="E1322" t="str">
        <f>"102-53-17"</f>
        <v>102-53-17</v>
      </c>
      <c r="F1322" t="s">
        <v>27</v>
      </c>
      <c r="G1322" t="s">
        <v>28</v>
      </c>
      <c r="H1322">
        <v>1</v>
      </c>
      <c r="Q1322">
        <v>1</v>
      </c>
      <c r="R1322">
        <v>0</v>
      </c>
      <c r="S1322">
        <v>1</v>
      </c>
      <c r="T1322">
        <v>0</v>
      </c>
      <c r="U1322">
        <v>1</v>
      </c>
      <c r="V1322">
        <v>0</v>
      </c>
    </row>
    <row r="1323" spans="1:22" x14ac:dyDescent="0.25">
      <c r="A1323" t="str">
        <f>"1319"</f>
        <v>1319</v>
      </c>
      <c r="B1323" t="str">
        <f t="shared" si="72"/>
        <v>102</v>
      </c>
      <c r="C1323" t="str">
        <f t="shared" si="73"/>
        <v>53</v>
      </c>
      <c r="D1323" t="str">
        <f>"8"</f>
        <v>8</v>
      </c>
      <c r="E1323" t="str">
        <f>"102-53-8"</f>
        <v>102-53-8</v>
      </c>
      <c r="F1323" t="s">
        <v>27</v>
      </c>
      <c r="G1323" t="s">
        <v>28</v>
      </c>
      <c r="H1323">
        <v>1</v>
      </c>
      <c r="Q1323">
        <v>0</v>
      </c>
      <c r="R1323">
        <v>1</v>
      </c>
      <c r="S1323">
        <v>0</v>
      </c>
      <c r="T1323">
        <v>1</v>
      </c>
      <c r="U1323">
        <v>0</v>
      </c>
      <c r="V1323">
        <v>1</v>
      </c>
    </row>
    <row r="1324" spans="1:22" x14ac:dyDescent="0.25">
      <c r="A1324" t="str">
        <f>"1320"</f>
        <v>1320</v>
      </c>
      <c r="B1324" t="str">
        <f t="shared" si="72"/>
        <v>102</v>
      </c>
      <c r="C1324" t="str">
        <f t="shared" si="73"/>
        <v>53</v>
      </c>
      <c r="D1324" t="str">
        <f>"18"</f>
        <v>18</v>
      </c>
      <c r="E1324" t="str">
        <f>"102-53-18"</f>
        <v>102-53-18</v>
      </c>
      <c r="F1324" t="s">
        <v>27</v>
      </c>
      <c r="G1324" t="s">
        <v>28</v>
      </c>
      <c r="H1324">
        <v>1</v>
      </c>
      <c r="Q1324">
        <v>0</v>
      </c>
      <c r="R1324">
        <v>1</v>
      </c>
      <c r="S1324">
        <v>0</v>
      </c>
      <c r="T1324">
        <v>1</v>
      </c>
      <c r="U1324">
        <v>1</v>
      </c>
      <c r="V1324">
        <v>0</v>
      </c>
    </row>
    <row r="1325" spans="1:22" x14ac:dyDescent="0.25">
      <c r="A1325" t="str">
        <f>"1321"</f>
        <v>1321</v>
      </c>
      <c r="B1325" t="str">
        <f t="shared" si="72"/>
        <v>102</v>
      </c>
      <c r="C1325" t="str">
        <f t="shared" si="73"/>
        <v>53</v>
      </c>
      <c r="D1325" t="str">
        <f>"3"</f>
        <v>3</v>
      </c>
      <c r="E1325" t="str">
        <f>"102-53-3"</f>
        <v>102-53-3</v>
      </c>
      <c r="F1325" t="s">
        <v>27</v>
      </c>
      <c r="G1325" t="s">
        <v>28</v>
      </c>
      <c r="H1325">
        <v>1</v>
      </c>
      <c r="Q1325">
        <v>0</v>
      </c>
      <c r="R1325">
        <v>1</v>
      </c>
      <c r="S1325">
        <v>0</v>
      </c>
      <c r="T1325">
        <v>1</v>
      </c>
      <c r="U1325">
        <v>0</v>
      </c>
      <c r="V1325">
        <v>1</v>
      </c>
    </row>
    <row r="1326" spans="1:22" x14ac:dyDescent="0.25">
      <c r="A1326" t="str">
        <f>"1322"</f>
        <v>1322</v>
      </c>
      <c r="B1326" t="str">
        <f t="shared" si="72"/>
        <v>102</v>
      </c>
      <c r="C1326" t="str">
        <f t="shared" si="73"/>
        <v>53</v>
      </c>
      <c r="D1326" t="str">
        <f>"19"</f>
        <v>19</v>
      </c>
      <c r="E1326" t="str">
        <f>"102-53-19"</f>
        <v>102-53-19</v>
      </c>
      <c r="F1326" t="s">
        <v>27</v>
      </c>
      <c r="G1326" t="s">
        <v>28</v>
      </c>
      <c r="H1326">
        <v>1</v>
      </c>
      <c r="Q1326">
        <v>0</v>
      </c>
      <c r="R1326">
        <v>1</v>
      </c>
      <c r="S1326">
        <v>0</v>
      </c>
      <c r="T1326">
        <v>1</v>
      </c>
      <c r="U1326">
        <v>1</v>
      </c>
      <c r="V1326">
        <v>0</v>
      </c>
    </row>
    <row r="1327" spans="1:22" x14ac:dyDescent="0.25">
      <c r="A1327" t="str">
        <f>"1323"</f>
        <v>1323</v>
      </c>
      <c r="B1327" t="str">
        <f t="shared" si="72"/>
        <v>102</v>
      </c>
      <c r="C1327" t="str">
        <f t="shared" si="73"/>
        <v>53</v>
      </c>
      <c r="D1327" t="str">
        <f>"10"</f>
        <v>10</v>
      </c>
      <c r="E1327" t="str">
        <f>"102-53-10"</f>
        <v>102-53-10</v>
      </c>
      <c r="F1327" t="s">
        <v>27</v>
      </c>
      <c r="G1327" t="s">
        <v>28</v>
      </c>
      <c r="H1327">
        <v>1</v>
      </c>
      <c r="Q1327">
        <v>0</v>
      </c>
      <c r="R1327">
        <v>1</v>
      </c>
      <c r="S1327">
        <v>0</v>
      </c>
      <c r="T1327">
        <v>1</v>
      </c>
      <c r="U1327">
        <v>1</v>
      </c>
      <c r="V1327">
        <v>0</v>
      </c>
    </row>
    <row r="1328" spans="1:22" x14ac:dyDescent="0.25">
      <c r="A1328" t="str">
        <f>"1324"</f>
        <v>1324</v>
      </c>
      <c r="B1328" t="str">
        <f t="shared" si="72"/>
        <v>102</v>
      </c>
      <c r="C1328" t="str">
        <f t="shared" si="73"/>
        <v>53</v>
      </c>
      <c r="D1328" t="str">
        <f>"20"</f>
        <v>20</v>
      </c>
      <c r="E1328" t="str">
        <f>"102-53-20"</f>
        <v>102-53-20</v>
      </c>
      <c r="F1328" t="s">
        <v>27</v>
      </c>
      <c r="G1328" t="s">
        <v>28</v>
      </c>
      <c r="H1328">
        <v>1</v>
      </c>
      <c r="Q1328">
        <v>0</v>
      </c>
      <c r="R1328">
        <v>1</v>
      </c>
      <c r="S1328">
        <v>0</v>
      </c>
      <c r="T1328">
        <v>1</v>
      </c>
      <c r="U1328">
        <v>0</v>
      </c>
      <c r="V1328">
        <v>1</v>
      </c>
    </row>
    <row r="1329" spans="1:22" x14ac:dyDescent="0.25">
      <c r="A1329" t="str">
        <f>"1325"</f>
        <v>1325</v>
      </c>
      <c r="B1329" t="str">
        <f t="shared" si="72"/>
        <v>102</v>
      </c>
      <c r="C1329" t="str">
        <f t="shared" si="73"/>
        <v>53</v>
      </c>
      <c r="D1329" t="str">
        <f>"9"</f>
        <v>9</v>
      </c>
      <c r="E1329" t="str">
        <f>"102-53-9"</f>
        <v>102-53-9</v>
      </c>
      <c r="F1329" t="s">
        <v>27</v>
      </c>
      <c r="G1329" t="s">
        <v>28</v>
      </c>
      <c r="H1329">
        <v>1</v>
      </c>
      <c r="Q1329">
        <v>1</v>
      </c>
      <c r="R1329">
        <v>0</v>
      </c>
      <c r="S1329">
        <v>1</v>
      </c>
      <c r="T1329">
        <v>0</v>
      </c>
      <c r="U1329">
        <v>0</v>
      </c>
      <c r="V1329">
        <v>1</v>
      </c>
    </row>
    <row r="1330" spans="1:22" x14ac:dyDescent="0.25">
      <c r="A1330" t="str">
        <f>"1326"</f>
        <v>1326</v>
      </c>
      <c r="B1330" t="str">
        <f t="shared" si="72"/>
        <v>102</v>
      </c>
      <c r="C1330" t="str">
        <f t="shared" ref="C1330:C1354" si="74">"54"</f>
        <v>54</v>
      </c>
      <c r="D1330" t="str">
        <f>"23"</f>
        <v>23</v>
      </c>
      <c r="E1330" t="str">
        <f>"102-54-23"</f>
        <v>102-54-23</v>
      </c>
      <c r="F1330" t="s">
        <v>27</v>
      </c>
      <c r="G1330" t="s">
        <v>28</v>
      </c>
      <c r="H1330">
        <v>1</v>
      </c>
      <c r="Q1330">
        <v>0</v>
      </c>
      <c r="R1330">
        <v>1</v>
      </c>
      <c r="S1330">
        <v>0</v>
      </c>
      <c r="T1330">
        <v>1</v>
      </c>
      <c r="U1330">
        <v>0</v>
      </c>
      <c r="V1330">
        <v>1</v>
      </c>
    </row>
    <row r="1331" spans="1:22" x14ac:dyDescent="0.25">
      <c r="A1331" t="str">
        <f>"1327"</f>
        <v>1327</v>
      </c>
      <c r="B1331" t="str">
        <f t="shared" si="72"/>
        <v>102</v>
      </c>
      <c r="C1331" t="str">
        <f t="shared" si="74"/>
        <v>54</v>
      </c>
      <c r="D1331" t="str">
        <f>"11"</f>
        <v>11</v>
      </c>
      <c r="E1331" t="str">
        <f>"102-54-11"</f>
        <v>102-54-11</v>
      </c>
      <c r="F1331" t="s">
        <v>27</v>
      </c>
      <c r="G1331" t="s">
        <v>28</v>
      </c>
      <c r="H1331">
        <v>1</v>
      </c>
      <c r="Q1331">
        <v>0</v>
      </c>
      <c r="R1331">
        <v>1</v>
      </c>
      <c r="S1331">
        <v>0</v>
      </c>
      <c r="T1331">
        <v>1</v>
      </c>
      <c r="U1331">
        <v>0</v>
      </c>
      <c r="V1331">
        <v>1</v>
      </c>
    </row>
    <row r="1332" spans="1:22" x14ac:dyDescent="0.25">
      <c r="A1332" t="str">
        <f>"1328"</f>
        <v>1328</v>
      </c>
      <c r="B1332" t="str">
        <f t="shared" si="72"/>
        <v>102</v>
      </c>
      <c r="C1332" t="str">
        <f t="shared" si="74"/>
        <v>54</v>
      </c>
      <c r="D1332" t="str">
        <f>"1"</f>
        <v>1</v>
      </c>
      <c r="E1332" t="str">
        <f>"102-54-1"</f>
        <v>102-54-1</v>
      </c>
      <c r="F1332" t="s">
        <v>27</v>
      </c>
      <c r="G1332" t="s">
        <v>28</v>
      </c>
      <c r="H1332">
        <v>1</v>
      </c>
      <c r="Q1332">
        <v>0</v>
      </c>
      <c r="R1332">
        <v>1</v>
      </c>
      <c r="S1332">
        <v>0</v>
      </c>
      <c r="T1332">
        <v>1</v>
      </c>
      <c r="U1332">
        <v>0</v>
      </c>
      <c r="V1332">
        <v>1</v>
      </c>
    </row>
    <row r="1333" spans="1:22" x14ac:dyDescent="0.25">
      <c r="A1333" t="str">
        <f>"1329"</f>
        <v>1329</v>
      </c>
      <c r="B1333" t="str">
        <f t="shared" si="72"/>
        <v>102</v>
      </c>
      <c r="C1333" t="str">
        <f t="shared" si="74"/>
        <v>54</v>
      </c>
      <c r="D1333" t="str">
        <f>"21"</f>
        <v>21</v>
      </c>
      <c r="E1333" t="str">
        <f>"102-54-21"</f>
        <v>102-54-21</v>
      </c>
      <c r="F1333" t="s">
        <v>27</v>
      </c>
      <c r="G1333" t="s">
        <v>28</v>
      </c>
      <c r="H1333">
        <v>1</v>
      </c>
      <c r="Q1333">
        <v>0</v>
      </c>
      <c r="R1333">
        <v>1</v>
      </c>
      <c r="S1333">
        <v>0</v>
      </c>
      <c r="T1333">
        <v>1</v>
      </c>
      <c r="U1333">
        <v>0</v>
      </c>
      <c r="V1333">
        <v>1</v>
      </c>
    </row>
    <row r="1334" spans="1:22" x14ac:dyDescent="0.25">
      <c r="A1334" t="str">
        <f>"1330"</f>
        <v>1330</v>
      </c>
      <c r="B1334" t="str">
        <f t="shared" si="72"/>
        <v>102</v>
      </c>
      <c r="C1334" t="str">
        <f t="shared" si="74"/>
        <v>54</v>
      </c>
      <c r="D1334" t="str">
        <f>"12"</f>
        <v>12</v>
      </c>
      <c r="E1334" t="str">
        <f>"102-54-12"</f>
        <v>102-54-12</v>
      </c>
      <c r="F1334" t="s">
        <v>27</v>
      </c>
      <c r="G1334" t="s">
        <v>28</v>
      </c>
      <c r="H1334">
        <v>1</v>
      </c>
      <c r="Q1334">
        <v>0</v>
      </c>
      <c r="R1334">
        <v>1</v>
      </c>
      <c r="S1334">
        <v>0</v>
      </c>
      <c r="T1334">
        <v>1</v>
      </c>
      <c r="U1334">
        <v>1</v>
      </c>
      <c r="V1334">
        <v>0</v>
      </c>
    </row>
    <row r="1335" spans="1:22" x14ac:dyDescent="0.25">
      <c r="A1335" t="str">
        <f>"1331"</f>
        <v>1331</v>
      </c>
      <c r="B1335" t="str">
        <f t="shared" si="72"/>
        <v>102</v>
      </c>
      <c r="C1335" t="str">
        <f t="shared" si="74"/>
        <v>54</v>
      </c>
      <c r="D1335" t="str">
        <f>"3"</f>
        <v>3</v>
      </c>
      <c r="E1335" t="str">
        <f>"102-54-3"</f>
        <v>102-54-3</v>
      </c>
      <c r="F1335" t="s">
        <v>27</v>
      </c>
      <c r="G1335" t="s">
        <v>28</v>
      </c>
      <c r="H1335">
        <v>1</v>
      </c>
      <c r="Q1335">
        <v>1</v>
      </c>
      <c r="R1335">
        <v>0</v>
      </c>
      <c r="S1335">
        <v>1</v>
      </c>
      <c r="T1335">
        <v>0</v>
      </c>
      <c r="U1335">
        <v>0</v>
      </c>
      <c r="V1335">
        <v>1</v>
      </c>
    </row>
    <row r="1336" spans="1:22" x14ac:dyDescent="0.25">
      <c r="A1336" t="str">
        <f>"1332"</f>
        <v>1332</v>
      </c>
      <c r="B1336" t="str">
        <f t="shared" si="72"/>
        <v>102</v>
      </c>
      <c r="C1336" t="str">
        <f t="shared" si="74"/>
        <v>54</v>
      </c>
      <c r="D1336" t="str">
        <f>"22"</f>
        <v>22</v>
      </c>
      <c r="E1336" t="str">
        <f>"102-54-22"</f>
        <v>102-54-22</v>
      </c>
      <c r="F1336" t="s">
        <v>27</v>
      </c>
      <c r="G1336" t="s">
        <v>28</v>
      </c>
      <c r="H1336">
        <v>1</v>
      </c>
      <c r="Q1336">
        <v>0</v>
      </c>
      <c r="R1336">
        <v>1</v>
      </c>
      <c r="S1336">
        <v>0</v>
      </c>
      <c r="T1336">
        <v>1</v>
      </c>
      <c r="U1336">
        <v>1</v>
      </c>
      <c r="V1336">
        <v>0</v>
      </c>
    </row>
    <row r="1337" spans="1:22" x14ac:dyDescent="0.25">
      <c r="A1337" t="str">
        <f>"1333"</f>
        <v>1333</v>
      </c>
      <c r="B1337" t="str">
        <f t="shared" si="72"/>
        <v>102</v>
      </c>
      <c r="C1337" t="str">
        <f t="shared" si="74"/>
        <v>54</v>
      </c>
      <c r="D1337" t="str">
        <f>"10"</f>
        <v>10</v>
      </c>
      <c r="E1337" t="str">
        <f>"102-54-10"</f>
        <v>102-54-10</v>
      </c>
      <c r="F1337" t="s">
        <v>27</v>
      </c>
      <c r="G1337" t="s">
        <v>28</v>
      </c>
      <c r="H1337">
        <v>1</v>
      </c>
      <c r="Q1337">
        <v>1</v>
      </c>
      <c r="R1337">
        <v>0</v>
      </c>
      <c r="S1337">
        <v>1</v>
      </c>
      <c r="T1337">
        <v>0</v>
      </c>
      <c r="U1337">
        <v>0</v>
      </c>
      <c r="V1337">
        <v>1</v>
      </c>
    </row>
    <row r="1338" spans="1:22" x14ac:dyDescent="0.25">
      <c r="A1338" t="str">
        <f>"1334"</f>
        <v>1334</v>
      </c>
      <c r="B1338" t="str">
        <f t="shared" si="72"/>
        <v>102</v>
      </c>
      <c r="C1338" t="str">
        <f t="shared" si="74"/>
        <v>54</v>
      </c>
      <c r="D1338" t="str">
        <f>"24"</f>
        <v>24</v>
      </c>
      <c r="E1338" t="str">
        <f>"102-54-24"</f>
        <v>102-54-24</v>
      </c>
      <c r="F1338" t="s">
        <v>27</v>
      </c>
      <c r="G1338" t="s">
        <v>28</v>
      </c>
      <c r="H1338">
        <v>1</v>
      </c>
      <c r="Q1338">
        <v>0</v>
      </c>
      <c r="R1338">
        <v>1</v>
      </c>
      <c r="S1338">
        <v>0</v>
      </c>
      <c r="T1338">
        <v>1</v>
      </c>
      <c r="U1338">
        <v>0</v>
      </c>
      <c r="V1338">
        <v>1</v>
      </c>
    </row>
    <row r="1339" spans="1:22" x14ac:dyDescent="0.25">
      <c r="A1339" t="str">
        <f>"1335"</f>
        <v>1335</v>
      </c>
      <c r="B1339" t="str">
        <f t="shared" si="72"/>
        <v>102</v>
      </c>
      <c r="C1339" t="str">
        <f t="shared" si="74"/>
        <v>54</v>
      </c>
      <c r="D1339" t="str">
        <f>"14"</f>
        <v>14</v>
      </c>
      <c r="E1339" t="str">
        <f>"102-54-14"</f>
        <v>102-54-14</v>
      </c>
      <c r="F1339" t="s">
        <v>27</v>
      </c>
      <c r="G1339" t="s">
        <v>28</v>
      </c>
      <c r="H1339">
        <v>1</v>
      </c>
      <c r="Q1339">
        <v>0</v>
      </c>
      <c r="R1339">
        <v>1</v>
      </c>
      <c r="S1339">
        <v>0</v>
      </c>
      <c r="T1339">
        <v>1</v>
      </c>
      <c r="U1339">
        <v>0</v>
      </c>
      <c r="V1339">
        <v>1</v>
      </c>
    </row>
    <row r="1340" spans="1:22" x14ac:dyDescent="0.25">
      <c r="A1340" t="str">
        <f>"1336"</f>
        <v>1336</v>
      </c>
      <c r="B1340" t="str">
        <f t="shared" si="72"/>
        <v>102</v>
      </c>
      <c r="C1340" t="str">
        <f t="shared" si="74"/>
        <v>54</v>
      </c>
      <c r="D1340" t="str">
        <f>"2"</f>
        <v>2</v>
      </c>
      <c r="E1340" t="str">
        <f>"102-54-2"</f>
        <v>102-54-2</v>
      </c>
      <c r="F1340" t="s">
        <v>27</v>
      </c>
      <c r="G1340" t="s">
        <v>28</v>
      </c>
      <c r="H1340">
        <v>1</v>
      </c>
      <c r="Q1340">
        <v>1</v>
      </c>
      <c r="R1340">
        <v>0</v>
      </c>
      <c r="S1340">
        <v>1</v>
      </c>
      <c r="T1340">
        <v>0</v>
      </c>
      <c r="U1340">
        <v>0</v>
      </c>
      <c r="V1340">
        <v>1</v>
      </c>
    </row>
    <row r="1341" spans="1:22" x14ac:dyDescent="0.25">
      <c r="A1341" t="str">
        <f>"1337"</f>
        <v>1337</v>
      </c>
      <c r="B1341" t="str">
        <f t="shared" si="72"/>
        <v>102</v>
      </c>
      <c r="C1341" t="str">
        <f t="shared" si="74"/>
        <v>54</v>
      </c>
      <c r="D1341" t="str">
        <f>"15"</f>
        <v>15</v>
      </c>
      <c r="E1341" t="str">
        <f>"102-54-15"</f>
        <v>102-54-15</v>
      </c>
      <c r="F1341" t="s">
        <v>27</v>
      </c>
      <c r="G1341" t="s">
        <v>28</v>
      </c>
      <c r="H1341">
        <v>1</v>
      </c>
      <c r="Q1341">
        <v>0</v>
      </c>
      <c r="R1341">
        <v>1</v>
      </c>
      <c r="S1341">
        <v>0</v>
      </c>
      <c r="T1341">
        <v>1</v>
      </c>
      <c r="U1341">
        <v>0</v>
      </c>
      <c r="V1341">
        <v>1</v>
      </c>
    </row>
    <row r="1342" spans="1:22" x14ac:dyDescent="0.25">
      <c r="A1342" t="str">
        <f>"1338"</f>
        <v>1338</v>
      </c>
      <c r="B1342" t="str">
        <f t="shared" si="72"/>
        <v>102</v>
      </c>
      <c r="C1342" t="str">
        <f t="shared" si="74"/>
        <v>54</v>
      </c>
      <c r="D1342" t="str">
        <f>"4"</f>
        <v>4</v>
      </c>
      <c r="E1342" t="str">
        <f>"102-54-4"</f>
        <v>102-54-4</v>
      </c>
      <c r="F1342" t="s">
        <v>27</v>
      </c>
      <c r="G1342" t="s">
        <v>28</v>
      </c>
      <c r="H1342">
        <v>1</v>
      </c>
      <c r="Q1342">
        <v>1</v>
      </c>
      <c r="R1342">
        <v>0</v>
      </c>
      <c r="S1342">
        <v>1</v>
      </c>
      <c r="T1342">
        <v>0</v>
      </c>
      <c r="U1342">
        <v>1</v>
      </c>
      <c r="V1342">
        <v>0</v>
      </c>
    </row>
    <row r="1343" spans="1:22" x14ac:dyDescent="0.25">
      <c r="A1343" t="str">
        <f>"1339"</f>
        <v>1339</v>
      </c>
      <c r="B1343" t="str">
        <f t="shared" si="72"/>
        <v>102</v>
      </c>
      <c r="C1343" t="str">
        <f t="shared" si="74"/>
        <v>54</v>
      </c>
      <c r="D1343" t="str">
        <f>"25"</f>
        <v>25</v>
      </c>
      <c r="E1343" t="str">
        <f>"102-54-25"</f>
        <v>102-54-25</v>
      </c>
      <c r="F1343" t="s">
        <v>27</v>
      </c>
      <c r="G1343" t="s">
        <v>28</v>
      </c>
      <c r="H1343">
        <v>1</v>
      </c>
      <c r="Q1343">
        <v>1</v>
      </c>
      <c r="R1343">
        <v>0</v>
      </c>
      <c r="S1343">
        <v>1</v>
      </c>
      <c r="T1343">
        <v>0</v>
      </c>
      <c r="U1343">
        <v>0</v>
      </c>
      <c r="V1343">
        <v>1</v>
      </c>
    </row>
    <row r="1344" spans="1:22" x14ac:dyDescent="0.25">
      <c r="A1344" t="str">
        <f>"1340"</f>
        <v>1340</v>
      </c>
      <c r="B1344" t="str">
        <f t="shared" si="72"/>
        <v>102</v>
      </c>
      <c r="C1344" t="str">
        <f t="shared" si="74"/>
        <v>54</v>
      </c>
      <c r="D1344" t="str">
        <f>"16"</f>
        <v>16</v>
      </c>
      <c r="E1344" t="str">
        <f>"102-54-16"</f>
        <v>102-54-16</v>
      </c>
      <c r="F1344" t="s">
        <v>27</v>
      </c>
      <c r="G1344" t="s">
        <v>28</v>
      </c>
      <c r="H1344">
        <v>1</v>
      </c>
      <c r="Q1344">
        <v>0</v>
      </c>
      <c r="R1344">
        <v>1</v>
      </c>
      <c r="S1344">
        <v>0</v>
      </c>
      <c r="T1344">
        <v>1</v>
      </c>
      <c r="U1344">
        <v>0</v>
      </c>
      <c r="V1344">
        <v>1</v>
      </c>
    </row>
    <row r="1345" spans="1:22" x14ac:dyDescent="0.25">
      <c r="A1345" t="str">
        <f>"1341"</f>
        <v>1341</v>
      </c>
      <c r="B1345" t="str">
        <f t="shared" si="72"/>
        <v>102</v>
      </c>
      <c r="C1345" t="str">
        <f t="shared" si="74"/>
        <v>54</v>
      </c>
      <c r="D1345" t="str">
        <f>"8"</f>
        <v>8</v>
      </c>
      <c r="E1345" t="str">
        <f>"102-54-8"</f>
        <v>102-54-8</v>
      </c>
      <c r="F1345" t="s">
        <v>27</v>
      </c>
      <c r="G1345" t="s">
        <v>28</v>
      </c>
      <c r="H1345">
        <v>1</v>
      </c>
      <c r="Q1345">
        <v>1</v>
      </c>
      <c r="R1345">
        <v>0</v>
      </c>
      <c r="S1345">
        <v>1</v>
      </c>
      <c r="T1345">
        <v>0</v>
      </c>
      <c r="U1345">
        <v>0</v>
      </c>
      <c r="V1345">
        <v>1</v>
      </c>
    </row>
    <row r="1346" spans="1:22" x14ac:dyDescent="0.25">
      <c r="A1346" t="str">
        <f>"1342"</f>
        <v>1342</v>
      </c>
      <c r="B1346" t="str">
        <f t="shared" si="72"/>
        <v>102</v>
      </c>
      <c r="C1346" t="str">
        <f t="shared" si="74"/>
        <v>54</v>
      </c>
      <c r="D1346" t="str">
        <f>"17"</f>
        <v>17</v>
      </c>
      <c r="E1346" t="str">
        <f>"102-54-17"</f>
        <v>102-54-17</v>
      </c>
      <c r="F1346" t="s">
        <v>27</v>
      </c>
      <c r="G1346" t="s">
        <v>28</v>
      </c>
      <c r="H1346">
        <v>1</v>
      </c>
      <c r="Q1346">
        <v>1</v>
      </c>
      <c r="R1346">
        <v>0</v>
      </c>
      <c r="S1346">
        <v>1</v>
      </c>
      <c r="T1346">
        <v>0</v>
      </c>
      <c r="U1346">
        <v>0</v>
      </c>
      <c r="V1346">
        <v>1</v>
      </c>
    </row>
    <row r="1347" spans="1:22" x14ac:dyDescent="0.25">
      <c r="A1347" t="str">
        <f>"1343"</f>
        <v>1343</v>
      </c>
      <c r="B1347" t="str">
        <f t="shared" si="72"/>
        <v>102</v>
      </c>
      <c r="C1347" t="str">
        <f t="shared" si="74"/>
        <v>54</v>
      </c>
      <c r="D1347" t="str">
        <f>"9"</f>
        <v>9</v>
      </c>
      <c r="E1347" t="str">
        <f>"102-54-9"</f>
        <v>102-54-9</v>
      </c>
      <c r="F1347" t="s">
        <v>27</v>
      </c>
      <c r="G1347" t="s">
        <v>28</v>
      </c>
      <c r="H1347">
        <v>1</v>
      </c>
      <c r="Q1347">
        <v>0</v>
      </c>
      <c r="R1347">
        <v>1</v>
      </c>
      <c r="S1347">
        <v>0</v>
      </c>
      <c r="T1347">
        <v>1</v>
      </c>
      <c r="U1347">
        <v>0</v>
      </c>
      <c r="V1347">
        <v>1</v>
      </c>
    </row>
    <row r="1348" spans="1:22" x14ac:dyDescent="0.25">
      <c r="A1348" t="str">
        <f>"1344"</f>
        <v>1344</v>
      </c>
      <c r="B1348" t="str">
        <f t="shared" si="72"/>
        <v>102</v>
      </c>
      <c r="C1348" t="str">
        <f t="shared" si="74"/>
        <v>54</v>
      </c>
      <c r="D1348" t="str">
        <f>"18"</f>
        <v>18</v>
      </c>
      <c r="E1348" t="str">
        <f>"102-54-18"</f>
        <v>102-54-18</v>
      </c>
      <c r="F1348" t="s">
        <v>27</v>
      </c>
      <c r="G1348" t="s">
        <v>28</v>
      </c>
      <c r="H1348">
        <v>1</v>
      </c>
      <c r="Q1348">
        <v>1</v>
      </c>
      <c r="R1348">
        <v>0</v>
      </c>
      <c r="S1348">
        <v>1</v>
      </c>
      <c r="T1348">
        <v>0</v>
      </c>
      <c r="U1348">
        <v>0</v>
      </c>
      <c r="V1348">
        <v>1</v>
      </c>
    </row>
    <row r="1349" spans="1:22" x14ac:dyDescent="0.25">
      <c r="A1349" t="str">
        <f>"1345"</f>
        <v>1345</v>
      </c>
      <c r="B1349" t="str">
        <f t="shared" ref="B1349:B1415" si="75">"102"</f>
        <v>102</v>
      </c>
      <c r="C1349" t="str">
        <f t="shared" si="74"/>
        <v>54</v>
      </c>
      <c r="D1349" t="str">
        <f>"5"</f>
        <v>5</v>
      </c>
      <c r="E1349" t="str">
        <f>"102-54-5"</f>
        <v>102-54-5</v>
      </c>
      <c r="F1349" t="s">
        <v>27</v>
      </c>
      <c r="G1349" t="s">
        <v>28</v>
      </c>
      <c r="H1349">
        <v>1</v>
      </c>
      <c r="Q1349">
        <v>1</v>
      </c>
      <c r="R1349">
        <v>0</v>
      </c>
      <c r="S1349">
        <v>0</v>
      </c>
      <c r="T1349">
        <v>1</v>
      </c>
      <c r="U1349">
        <v>0</v>
      </c>
      <c r="V1349">
        <v>1</v>
      </c>
    </row>
    <row r="1350" spans="1:22" x14ac:dyDescent="0.25">
      <c r="A1350" t="str">
        <f>"1346"</f>
        <v>1346</v>
      </c>
      <c r="B1350" t="str">
        <f t="shared" si="75"/>
        <v>102</v>
      </c>
      <c r="C1350" t="str">
        <f t="shared" si="74"/>
        <v>54</v>
      </c>
      <c r="D1350" t="str">
        <f>"19"</f>
        <v>19</v>
      </c>
      <c r="E1350" t="str">
        <f>"102-54-19"</f>
        <v>102-54-19</v>
      </c>
      <c r="F1350" t="s">
        <v>27</v>
      </c>
      <c r="G1350" t="s">
        <v>28</v>
      </c>
      <c r="H1350">
        <v>1</v>
      </c>
      <c r="Q1350">
        <v>0</v>
      </c>
      <c r="R1350">
        <v>1</v>
      </c>
      <c r="S1350">
        <v>0</v>
      </c>
      <c r="T1350">
        <v>1</v>
      </c>
      <c r="U1350">
        <v>0</v>
      </c>
      <c r="V1350">
        <v>1</v>
      </c>
    </row>
    <row r="1351" spans="1:22" x14ac:dyDescent="0.25">
      <c r="A1351" t="str">
        <f>"1347"</f>
        <v>1347</v>
      </c>
      <c r="B1351" t="str">
        <f t="shared" si="75"/>
        <v>102</v>
      </c>
      <c r="C1351" t="str">
        <f t="shared" si="74"/>
        <v>54</v>
      </c>
      <c r="D1351" t="str">
        <f>"6"</f>
        <v>6</v>
      </c>
      <c r="E1351" t="str">
        <f>"102-54-6"</f>
        <v>102-54-6</v>
      </c>
      <c r="F1351" t="s">
        <v>27</v>
      </c>
      <c r="G1351" t="s">
        <v>28</v>
      </c>
      <c r="H1351">
        <v>1</v>
      </c>
      <c r="Q1351">
        <v>1</v>
      </c>
      <c r="R1351">
        <v>0</v>
      </c>
      <c r="S1351">
        <v>0</v>
      </c>
      <c r="T1351">
        <v>1</v>
      </c>
      <c r="U1351">
        <v>0</v>
      </c>
      <c r="V1351">
        <v>1</v>
      </c>
    </row>
    <row r="1352" spans="1:22" x14ac:dyDescent="0.25">
      <c r="A1352" t="str">
        <f>"1348"</f>
        <v>1348</v>
      </c>
      <c r="B1352" t="str">
        <f t="shared" si="75"/>
        <v>102</v>
      </c>
      <c r="C1352" t="str">
        <f t="shared" si="74"/>
        <v>54</v>
      </c>
      <c r="D1352" t="str">
        <f>"20"</f>
        <v>20</v>
      </c>
      <c r="E1352" t="str">
        <f>"102-54-20"</f>
        <v>102-54-20</v>
      </c>
      <c r="F1352" t="s">
        <v>27</v>
      </c>
      <c r="G1352" t="s">
        <v>28</v>
      </c>
      <c r="H1352">
        <v>1</v>
      </c>
      <c r="Q1352">
        <v>1</v>
      </c>
      <c r="R1352">
        <v>0</v>
      </c>
      <c r="S1352">
        <v>0</v>
      </c>
      <c r="T1352">
        <v>1</v>
      </c>
      <c r="U1352">
        <v>0</v>
      </c>
      <c r="V1352">
        <v>1</v>
      </c>
    </row>
    <row r="1353" spans="1:22" x14ac:dyDescent="0.25">
      <c r="A1353" t="str">
        <f>"1349"</f>
        <v>1349</v>
      </c>
      <c r="B1353" t="str">
        <f t="shared" si="75"/>
        <v>102</v>
      </c>
      <c r="C1353" t="str">
        <f t="shared" si="74"/>
        <v>54</v>
      </c>
      <c r="D1353" t="str">
        <f>"7"</f>
        <v>7</v>
      </c>
      <c r="E1353" t="str">
        <f>"102-54-7"</f>
        <v>102-54-7</v>
      </c>
      <c r="F1353" t="s">
        <v>27</v>
      </c>
      <c r="G1353" t="s">
        <v>28</v>
      </c>
      <c r="H1353">
        <v>1</v>
      </c>
      <c r="Q1353">
        <v>0</v>
      </c>
      <c r="R1353">
        <v>1</v>
      </c>
      <c r="S1353">
        <v>0</v>
      </c>
      <c r="T1353">
        <v>1</v>
      </c>
      <c r="U1353">
        <v>0</v>
      </c>
      <c r="V1353">
        <v>1</v>
      </c>
    </row>
    <row r="1354" spans="1:22" x14ac:dyDescent="0.25">
      <c r="A1354" t="str">
        <f>"1350"</f>
        <v>1350</v>
      </c>
      <c r="B1354" t="str">
        <f t="shared" si="75"/>
        <v>102</v>
      </c>
      <c r="C1354" t="str">
        <f t="shared" si="74"/>
        <v>54</v>
      </c>
      <c r="D1354" t="str">
        <f>"13"</f>
        <v>13</v>
      </c>
      <c r="E1354" t="str">
        <f>"102-54-13"</f>
        <v>102-54-13</v>
      </c>
      <c r="F1354" t="s">
        <v>27</v>
      </c>
      <c r="G1354" t="s">
        <v>28</v>
      </c>
      <c r="H1354">
        <v>1</v>
      </c>
      <c r="Q1354">
        <v>0</v>
      </c>
      <c r="R1354">
        <v>0</v>
      </c>
      <c r="S1354">
        <v>1</v>
      </c>
      <c r="T1354">
        <v>0</v>
      </c>
      <c r="U1354">
        <v>0</v>
      </c>
      <c r="V1354">
        <v>1</v>
      </c>
    </row>
    <row r="1355" spans="1:22" x14ac:dyDescent="0.25">
      <c r="A1355" t="str">
        <f>"1351"</f>
        <v>1351</v>
      </c>
      <c r="B1355" t="str">
        <f t="shared" si="75"/>
        <v>102</v>
      </c>
      <c r="C1355" t="str">
        <f t="shared" ref="C1355:C1377" si="76">"55"</f>
        <v>55</v>
      </c>
      <c r="D1355" t="str">
        <f>"23"</f>
        <v>23</v>
      </c>
      <c r="E1355" t="str">
        <f>"102-55-23"</f>
        <v>102-55-23</v>
      </c>
      <c r="F1355" t="s">
        <v>27</v>
      </c>
      <c r="G1355" t="s">
        <v>28</v>
      </c>
      <c r="H1355">
        <v>1</v>
      </c>
      <c r="Q1355">
        <v>1</v>
      </c>
      <c r="R1355">
        <v>0</v>
      </c>
      <c r="S1355">
        <v>0</v>
      </c>
      <c r="T1355">
        <v>1</v>
      </c>
      <c r="U1355">
        <v>1</v>
      </c>
      <c r="V1355">
        <v>0</v>
      </c>
    </row>
    <row r="1356" spans="1:22" x14ac:dyDescent="0.25">
      <c r="A1356" t="str">
        <f>"1352"</f>
        <v>1352</v>
      </c>
      <c r="B1356" t="str">
        <f t="shared" si="75"/>
        <v>102</v>
      </c>
      <c r="C1356" t="str">
        <f t="shared" si="76"/>
        <v>55</v>
      </c>
      <c r="D1356" t="str">
        <f>"11"</f>
        <v>11</v>
      </c>
      <c r="E1356" t="str">
        <f>"102-55-11"</f>
        <v>102-55-11</v>
      </c>
      <c r="F1356" t="s">
        <v>27</v>
      </c>
      <c r="G1356" t="s">
        <v>28</v>
      </c>
      <c r="H1356">
        <v>1</v>
      </c>
      <c r="Q1356">
        <v>1</v>
      </c>
      <c r="R1356">
        <v>0</v>
      </c>
      <c r="S1356">
        <v>1</v>
      </c>
      <c r="T1356">
        <v>0</v>
      </c>
      <c r="U1356">
        <v>1</v>
      </c>
      <c r="V1356">
        <v>0</v>
      </c>
    </row>
    <row r="1357" spans="1:22" x14ac:dyDescent="0.25">
      <c r="A1357" t="str">
        <f>"1353"</f>
        <v>1353</v>
      </c>
      <c r="B1357" t="str">
        <f t="shared" si="75"/>
        <v>102</v>
      </c>
      <c r="C1357" t="str">
        <f t="shared" si="76"/>
        <v>55</v>
      </c>
      <c r="D1357" t="str">
        <f>"1"</f>
        <v>1</v>
      </c>
      <c r="E1357" t="str">
        <f>"102-55-1"</f>
        <v>102-55-1</v>
      </c>
      <c r="F1357" t="s">
        <v>27</v>
      </c>
      <c r="G1357" t="s">
        <v>28</v>
      </c>
      <c r="H1357">
        <v>1</v>
      </c>
      <c r="Q1357">
        <v>0</v>
      </c>
      <c r="R1357">
        <v>1</v>
      </c>
      <c r="S1357">
        <v>0</v>
      </c>
      <c r="T1357">
        <v>1</v>
      </c>
      <c r="U1357">
        <v>0</v>
      </c>
      <c r="V1357">
        <v>1</v>
      </c>
    </row>
    <row r="1358" spans="1:22" x14ac:dyDescent="0.25">
      <c r="A1358" t="str">
        <f>"1354"</f>
        <v>1354</v>
      </c>
      <c r="B1358" t="str">
        <f t="shared" si="75"/>
        <v>102</v>
      </c>
      <c r="C1358" t="str">
        <f t="shared" si="76"/>
        <v>55</v>
      </c>
      <c r="D1358" t="str">
        <f>"12"</f>
        <v>12</v>
      </c>
      <c r="E1358" t="str">
        <f>"102-55-12"</f>
        <v>102-55-12</v>
      </c>
      <c r="F1358" t="s">
        <v>27</v>
      </c>
      <c r="G1358" t="s">
        <v>28</v>
      </c>
      <c r="H1358">
        <v>1</v>
      </c>
      <c r="Q1358">
        <v>0</v>
      </c>
      <c r="R1358">
        <v>1</v>
      </c>
      <c r="S1358">
        <v>0</v>
      </c>
      <c r="T1358">
        <v>1</v>
      </c>
      <c r="U1358">
        <v>0</v>
      </c>
      <c r="V1358">
        <v>1</v>
      </c>
    </row>
    <row r="1359" spans="1:22" x14ac:dyDescent="0.25">
      <c r="A1359" t="str">
        <f>"1355"</f>
        <v>1355</v>
      </c>
      <c r="B1359" t="str">
        <f t="shared" si="75"/>
        <v>102</v>
      </c>
      <c r="C1359" t="str">
        <f t="shared" si="76"/>
        <v>55</v>
      </c>
      <c r="D1359" t="str">
        <f>"2"</f>
        <v>2</v>
      </c>
      <c r="E1359" t="str">
        <f>"102-55-2"</f>
        <v>102-55-2</v>
      </c>
      <c r="F1359" t="s">
        <v>27</v>
      </c>
      <c r="G1359" t="s">
        <v>28</v>
      </c>
      <c r="H1359">
        <v>1</v>
      </c>
      <c r="Q1359">
        <v>1</v>
      </c>
      <c r="R1359">
        <v>0</v>
      </c>
      <c r="S1359">
        <v>1</v>
      </c>
      <c r="T1359">
        <v>0</v>
      </c>
      <c r="U1359">
        <v>0</v>
      </c>
      <c r="V1359">
        <v>1</v>
      </c>
    </row>
    <row r="1360" spans="1:22" x14ac:dyDescent="0.25">
      <c r="A1360" t="str">
        <f>"1356"</f>
        <v>1356</v>
      </c>
      <c r="B1360" t="str">
        <f t="shared" si="75"/>
        <v>102</v>
      </c>
      <c r="C1360" t="str">
        <f t="shared" si="76"/>
        <v>55</v>
      </c>
      <c r="D1360" t="str">
        <f>"21"</f>
        <v>21</v>
      </c>
      <c r="E1360" t="str">
        <f>"102-55-21"</f>
        <v>102-55-21</v>
      </c>
      <c r="F1360" t="s">
        <v>27</v>
      </c>
      <c r="G1360" t="s">
        <v>28</v>
      </c>
      <c r="H1360">
        <v>1</v>
      </c>
      <c r="Q1360">
        <v>0</v>
      </c>
      <c r="R1360">
        <v>1</v>
      </c>
      <c r="S1360">
        <v>0</v>
      </c>
      <c r="T1360">
        <v>1</v>
      </c>
      <c r="U1360">
        <v>0</v>
      </c>
      <c r="V1360">
        <v>1</v>
      </c>
    </row>
    <row r="1361" spans="1:22" x14ac:dyDescent="0.25">
      <c r="A1361" t="str">
        <f>"1357"</f>
        <v>1357</v>
      </c>
      <c r="B1361" t="str">
        <f t="shared" si="75"/>
        <v>102</v>
      </c>
      <c r="C1361" t="str">
        <f t="shared" si="76"/>
        <v>55</v>
      </c>
      <c r="D1361" t="str">
        <f>"13"</f>
        <v>13</v>
      </c>
      <c r="E1361" t="str">
        <f>"102-55-13"</f>
        <v>102-55-13</v>
      </c>
      <c r="F1361" t="s">
        <v>27</v>
      </c>
      <c r="G1361" t="s">
        <v>28</v>
      </c>
      <c r="H1361">
        <v>1</v>
      </c>
      <c r="Q1361">
        <v>1</v>
      </c>
      <c r="R1361">
        <v>0</v>
      </c>
      <c r="S1361">
        <v>1</v>
      </c>
      <c r="T1361">
        <v>0</v>
      </c>
      <c r="U1361">
        <v>0</v>
      </c>
      <c r="V1361">
        <v>1</v>
      </c>
    </row>
    <row r="1362" spans="1:22" x14ac:dyDescent="0.25">
      <c r="A1362" t="str">
        <f>"1358"</f>
        <v>1358</v>
      </c>
      <c r="B1362" t="str">
        <f t="shared" si="75"/>
        <v>102</v>
      </c>
      <c r="C1362" t="str">
        <f t="shared" si="76"/>
        <v>55</v>
      </c>
      <c r="D1362" t="str">
        <f>"3"</f>
        <v>3</v>
      </c>
      <c r="E1362" t="str">
        <f>"102-55-3"</f>
        <v>102-55-3</v>
      </c>
      <c r="F1362" t="s">
        <v>27</v>
      </c>
      <c r="G1362" t="s">
        <v>28</v>
      </c>
      <c r="H1362">
        <v>1</v>
      </c>
      <c r="Q1362">
        <v>0</v>
      </c>
      <c r="R1362">
        <v>1</v>
      </c>
      <c r="S1362">
        <v>0</v>
      </c>
      <c r="T1362">
        <v>1</v>
      </c>
      <c r="U1362">
        <v>0</v>
      </c>
      <c r="V1362">
        <v>1</v>
      </c>
    </row>
    <row r="1363" spans="1:22" x14ac:dyDescent="0.25">
      <c r="A1363" t="str">
        <f>"1359"</f>
        <v>1359</v>
      </c>
      <c r="B1363" t="str">
        <f t="shared" si="75"/>
        <v>102</v>
      </c>
      <c r="C1363" t="str">
        <f t="shared" si="76"/>
        <v>55</v>
      </c>
      <c r="D1363" t="str">
        <f>"14"</f>
        <v>14</v>
      </c>
      <c r="E1363" t="str">
        <f>"102-55-14"</f>
        <v>102-55-14</v>
      </c>
      <c r="F1363" t="s">
        <v>27</v>
      </c>
      <c r="G1363" t="s">
        <v>28</v>
      </c>
      <c r="H1363">
        <v>1</v>
      </c>
      <c r="Q1363">
        <v>1</v>
      </c>
      <c r="R1363">
        <v>0</v>
      </c>
      <c r="S1363">
        <v>1</v>
      </c>
      <c r="T1363">
        <v>0</v>
      </c>
      <c r="U1363">
        <v>1</v>
      </c>
      <c r="V1363">
        <v>0</v>
      </c>
    </row>
    <row r="1364" spans="1:22" x14ac:dyDescent="0.25">
      <c r="A1364" t="str">
        <f>"1360"</f>
        <v>1360</v>
      </c>
      <c r="B1364" t="str">
        <f t="shared" si="75"/>
        <v>102</v>
      </c>
      <c r="C1364" t="str">
        <f t="shared" si="76"/>
        <v>55</v>
      </c>
      <c r="D1364" t="str">
        <f>"7"</f>
        <v>7</v>
      </c>
      <c r="E1364" t="str">
        <f>"102-55-7"</f>
        <v>102-55-7</v>
      </c>
      <c r="F1364" t="s">
        <v>27</v>
      </c>
      <c r="G1364" t="s">
        <v>28</v>
      </c>
      <c r="H1364">
        <v>1</v>
      </c>
      <c r="Q1364">
        <v>0</v>
      </c>
      <c r="R1364">
        <v>1</v>
      </c>
      <c r="S1364">
        <v>0</v>
      </c>
      <c r="T1364">
        <v>1</v>
      </c>
      <c r="U1364">
        <v>0</v>
      </c>
      <c r="V1364">
        <v>1</v>
      </c>
    </row>
    <row r="1365" spans="1:22" x14ac:dyDescent="0.25">
      <c r="A1365" t="str">
        <f>"1361"</f>
        <v>1361</v>
      </c>
      <c r="B1365" t="str">
        <f t="shared" si="75"/>
        <v>102</v>
      </c>
      <c r="C1365" t="str">
        <f t="shared" si="76"/>
        <v>55</v>
      </c>
      <c r="D1365" t="str">
        <f>"15"</f>
        <v>15</v>
      </c>
      <c r="E1365" t="str">
        <f>"102-55-15"</f>
        <v>102-55-15</v>
      </c>
      <c r="F1365" t="s">
        <v>27</v>
      </c>
      <c r="G1365" t="s">
        <v>28</v>
      </c>
      <c r="H1365">
        <v>1</v>
      </c>
      <c r="Q1365">
        <v>1</v>
      </c>
      <c r="R1365">
        <v>0</v>
      </c>
      <c r="S1365">
        <v>0</v>
      </c>
      <c r="T1365">
        <v>1</v>
      </c>
      <c r="U1365">
        <v>1</v>
      </c>
      <c r="V1365">
        <v>0</v>
      </c>
    </row>
    <row r="1366" spans="1:22" x14ac:dyDescent="0.25">
      <c r="A1366" t="str">
        <f>"1362"</f>
        <v>1362</v>
      </c>
      <c r="B1366" t="str">
        <f t="shared" si="75"/>
        <v>102</v>
      </c>
      <c r="C1366" t="str">
        <f t="shared" si="76"/>
        <v>55</v>
      </c>
      <c r="D1366" t="str">
        <f>"6"</f>
        <v>6</v>
      </c>
      <c r="E1366" t="str">
        <f>"102-55-6"</f>
        <v>102-55-6</v>
      </c>
      <c r="F1366" t="s">
        <v>27</v>
      </c>
      <c r="G1366" t="s">
        <v>28</v>
      </c>
      <c r="H1366">
        <v>1</v>
      </c>
      <c r="Q1366">
        <v>1</v>
      </c>
      <c r="R1366">
        <v>0</v>
      </c>
      <c r="S1366">
        <v>1</v>
      </c>
      <c r="T1366">
        <v>0</v>
      </c>
      <c r="U1366">
        <v>1</v>
      </c>
      <c r="V1366">
        <v>0</v>
      </c>
    </row>
    <row r="1367" spans="1:22" x14ac:dyDescent="0.25">
      <c r="A1367" t="str">
        <f>"1363"</f>
        <v>1363</v>
      </c>
      <c r="B1367" t="str">
        <f t="shared" si="75"/>
        <v>102</v>
      </c>
      <c r="C1367" t="str">
        <f t="shared" si="76"/>
        <v>55</v>
      </c>
      <c r="D1367" t="str">
        <f>"16"</f>
        <v>16</v>
      </c>
      <c r="E1367" t="str">
        <f>"102-55-16"</f>
        <v>102-55-16</v>
      </c>
      <c r="F1367" t="s">
        <v>27</v>
      </c>
      <c r="G1367" t="s">
        <v>28</v>
      </c>
      <c r="H1367">
        <v>1</v>
      </c>
      <c r="Q1367">
        <v>1</v>
      </c>
      <c r="R1367">
        <v>0</v>
      </c>
      <c r="S1367">
        <v>1</v>
      </c>
      <c r="T1367">
        <v>0</v>
      </c>
      <c r="U1367">
        <v>1</v>
      </c>
      <c r="V1367">
        <v>0</v>
      </c>
    </row>
    <row r="1368" spans="1:22" x14ac:dyDescent="0.25">
      <c r="A1368" t="str">
        <f>"1364"</f>
        <v>1364</v>
      </c>
      <c r="B1368" t="str">
        <f t="shared" si="75"/>
        <v>102</v>
      </c>
      <c r="C1368" t="str">
        <f t="shared" si="76"/>
        <v>55</v>
      </c>
      <c r="D1368" t="str">
        <f>"8"</f>
        <v>8</v>
      </c>
      <c r="E1368" t="str">
        <f>"102-55-8"</f>
        <v>102-55-8</v>
      </c>
      <c r="F1368" t="s">
        <v>27</v>
      </c>
      <c r="G1368" t="s">
        <v>28</v>
      </c>
      <c r="H1368">
        <v>1</v>
      </c>
      <c r="Q1368">
        <v>1</v>
      </c>
      <c r="R1368">
        <v>0</v>
      </c>
      <c r="S1368">
        <v>0</v>
      </c>
      <c r="T1368">
        <v>1</v>
      </c>
      <c r="U1368">
        <v>1</v>
      </c>
      <c r="V1368">
        <v>0</v>
      </c>
    </row>
    <row r="1369" spans="1:22" x14ac:dyDescent="0.25">
      <c r="A1369" t="str">
        <f>"1365"</f>
        <v>1365</v>
      </c>
      <c r="B1369" t="str">
        <f t="shared" si="75"/>
        <v>102</v>
      </c>
      <c r="C1369" t="str">
        <f t="shared" si="76"/>
        <v>55</v>
      </c>
      <c r="D1369" t="str">
        <f>"17"</f>
        <v>17</v>
      </c>
      <c r="E1369" t="str">
        <f>"102-55-17"</f>
        <v>102-55-17</v>
      </c>
      <c r="F1369" t="s">
        <v>27</v>
      </c>
      <c r="G1369" t="s">
        <v>28</v>
      </c>
      <c r="H1369">
        <v>1</v>
      </c>
      <c r="Q1369">
        <v>0</v>
      </c>
      <c r="R1369">
        <v>1</v>
      </c>
      <c r="S1369">
        <v>0</v>
      </c>
      <c r="T1369">
        <v>1</v>
      </c>
      <c r="U1369">
        <v>0</v>
      </c>
      <c r="V1369">
        <v>1</v>
      </c>
    </row>
    <row r="1370" spans="1:22" x14ac:dyDescent="0.25">
      <c r="A1370" t="str">
        <f>"1366"</f>
        <v>1366</v>
      </c>
      <c r="B1370" t="str">
        <f t="shared" si="75"/>
        <v>102</v>
      </c>
      <c r="C1370" t="str">
        <f t="shared" si="76"/>
        <v>55</v>
      </c>
      <c r="D1370" t="str">
        <f>"5"</f>
        <v>5</v>
      </c>
      <c r="E1370" t="str">
        <f>"102-55-5"</f>
        <v>102-55-5</v>
      </c>
      <c r="F1370" t="s">
        <v>27</v>
      </c>
      <c r="G1370" t="s">
        <v>28</v>
      </c>
      <c r="H1370">
        <v>1</v>
      </c>
      <c r="Q1370">
        <v>0</v>
      </c>
      <c r="R1370">
        <v>1</v>
      </c>
      <c r="S1370">
        <v>0</v>
      </c>
      <c r="T1370">
        <v>1</v>
      </c>
      <c r="U1370">
        <v>0</v>
      </c>
      <c r="V1370">
        <v>1</v>
      </c>
    </row>
    <row r="1371" spans="1:22" x14ac:dyDescent="0.25">
      <c r="A1371" t="str">
        <f>"1367"</f>
        <v>1367</v>
      </c>
      <c r="B1371" t="str">
        <f t="shared" si="75"/>
        <v>102</v>
      </c>
      <c r="C1371" t="str">
        <f t="shared" si="76"/>
        <v>55</v>
      </c>
      <c r="D1371" t="str">
        <f>"18"</f>
        <v>18</v>
      </c>
      <c r="E1371" t="str">
        <f>"102-55-18"</f>
        <v>102-55-18</v>
      </c>
      <c r="F1371" t="s">
        <v>27</v>
      </c>
      <c r="G1371" t="s">
        <v>28</v>
      </c>
      <c r="H1371">
        <v>1</v>
      </c>
      <c r="Q1371">
        <v>0</v>
      </c>
      <c r="R1371">
        <v>1</v>
      </c>
      <c r="S1371">
        <v>0</v>
      </c>
      <c r="T1371">
        <v>1</v>
      </c>
      <c r="U1371">
        <v>0</v>
      </c>
      <c r="V1371">
        <v>1</v>
      </c>
    </row>
    <row r="1372" spans="1:22" x14ac:dyDescent="0.25">
      <c r="A1372" t="str">
        <f>"1368"</f>
        <v>1368</v>
      </c>
      <c r="B1372" t="str">
        <f t="shared" si="75"/>
        <v>102</v>
      </c>
      <c r="C1372" t="str">
        <f t="shared" si="76"/>
        <v>55</v>
      </c>
      <c r="D1372" t="str">
        <f>"4"</f>
        <v>4</v>
      </c>
      <c r="E1372" t="str">
        <f>"102-55-4"</f>
        <v>102-55-4</v>
      </c>
      <c r="F1372" t="s">
        <v>27</v>
      </c>
      <c r="G1372" t="s">
        <v>28</v>
      </c>
      <c r="H1372">
        <v>1</v>
      </c>
      <c r="Q1372">
        <v>1</v>
      </c>
      <c r="R1372">
        <v>0</v>
      </c>
      <c r="S1372">
        <v>1</v>
      </c>
      <c r="T1372">
        <v>0</v>
      </c>
      <c r="U1372">
        <v>1</v>
      </c>
      <c r="V1372">
        <v>0</v>
      </c>
    </row>
    <row r="1373" spans="1:22" x14ac:dyDescent="0.25">
      <c r="A1373" t="str">
        <f>"1369"</f>
        <v>1369</v>
      </c>
      <c r="B1373" t="str">
        <f t="shared" si="75"/>
        <v>102</v>
      </c>
      <c r="C1373" t="str">
        <f t="shared" si="76"/>
        <v>55</v>
      </c>
      <c r="D1373" t="str">
        <f>"19"</f>
        <v>19</v>
      </c>
      <c r="E1373" t="str">
        <f>"102-55-19"</f>
        <v>102-55-19</v>
      </c>
      <c r="F1373" t="s">
        <v>27</v>
      </c>
      <c r="G1373" t="s">
        <v>28</v>
      </c>
      <c r="H1373">
        <v>1</v>
      </c>
      <c r="Q1373">
        <v>0</v>
      </c>
      <c r="R1373">
        <v>1</v>
      </c>
      <c r="S1373">
        <v>0</v>
      </c>
      <c r="T1373">
        <v>1</v>
      </c>
      <c r="U1373">
        <v>0</v>
      </c>
      <c r="V1373">
        <v>1</v>
      </c>
    </row>
    <row r="1374" spans="1:22" x14ac:dyDescent="0.25">
      <c r="A1374" t="str">
        <f>"1370"</f>
        <v>1370</v>
      </c>
      <c r="B1374" t="str">
        <f t="shared" si="75"/>
        <v>102</v>
      </c>
      <c r="C1374" t="str">
        <f t="shared" si="76"/>
        <v>55</v>
      </c>
      <c r="D1374" t="str">
        <f>"9"</f>
        <v>9</v>
      </c>
      <c r="E1374" t="str">
        <f>"102-55-9"</f>
        <v>102-55-9</v>
      </c>
      <c r="F1374" t="s">
        <v>27</v>
      </c>
      <c r="G1374" t="s">
        <v>28</v>
      </c>
      <c r="H1374">
        <v>1</v>
      </c>
      <c r="Q1374">
        <v>1</v>
      </c>
      <c r="R1374">
        <v>0</v>
      </c>
      <c r="S1374">
        <v>0</v>
      </c>
      <c r="T1374">
        <v>1</v>
      </c>
      <c r="U1374">
        <v>0</v>
      </c>
      <c r="V1374">
        <v>1</v>
      </c>
    </row>
    <row r="1375" spans="1:22" x14ac:dyDescent="0.25">
      <c r="A1375" t="str">
        <f>"1371"</f>
        <v>1371</v>
      </c>
      <c r="B1375" t="str">
        <f t="shared" si="75"/>
        <v>102</v>
      </c>
      <c r="C1375" t="str">
        <f t="shared" si="76"/>
        <v>55</v>
      </c>
      <c r="D1375" t="str">
        <f>"20"</f>
        <v>20</v>
      </c>
      <c r="E1375" t="str">
        <f>"102-55-20"</f>
        <v>102-55-20</v>
      </c>
      <c r="F1375" t="s">
        <v>27</v>
      </c>
      <c r="G1375" t="s">
        <v>28</v>
      </c>
      <c r="H1375">
        <v>1</v>
      </c>
      <c r="Q1375">
        <v>1</v>
      </c>
      <c r="R1375">
        <v>0</v>
      </c>
      <c r="S1375">
        <v>1</v>
      </c>
      <c r="T1375">
        <v>0</v>
      </c>
      <c r="U1375">
        <v>1</v>
      </c>
      <c r="V1375">
        <v>0</v>
      </c>
    </row>
    <row r="1376" spans="1:22" x14ac:dyDescent="0.25">
      <c r="A1376" t="str">
        <f>"1372"</f>
        <v>1372</v>
      </c>
      <c r="B1376" t="str">
        <f t="shared" si="75"/>
        <v>102</v>
      </c>
      <c r="C1376" t="str">
        <f t="shared" si="76"/>
        <v>55</v>
      </c>
      <c r="D1376" t="str">
        <f>"10"</f>
        <v>10</v>
      </c>
      <c r="E1376" t="str">
        <f>"102-55-10"</f>
        <v>102-55-10</v>
      </c>
      <c r="F1376" t="s">
        <v>27</v>
      </c>
      <c r="G1376" t="s">
        <v>28</v>
      </c>
      <c r="H1376">
        <v>1</v>
      </c>
      <c r="Q1376">
        <v>1</v>
      </c>
      <c r="R1376">
        <v>0</v>
      </c>
      <c r="S1376">
        <v>1</v>
      </c>
      <c r="T1376">
        <v>0</v>
      </c>
      <c r="U1376">
        <v>0</v>
      </c>
      <c r="V1376">
        <v>1</v>
      </c>
    </row>
    <row r="1377" spans="1:22" x14ac:dyDescent="0.25">
      <c r="A1377" t="str">
        <f>"1373"</f>
        <v>1373</v>
      </c>
      <c r="B1377" t="str">
        <f t="shared" si="75"/>
        <v>102</v>
      </c>
      <c r="C1377" t="str">
        <f t="shared" si="76"/>
        <v>55</v>
      </c>
      <c r="D1377" t="str">
        <f>"22"</f>
        <v>22</v>
      </c>
      <c r="E1377" t="str">
        <f>"102-55-22"</f>
        <v>102-55-22</v>
      </c>
      <c r="F1377" t="s">
        <v>27</v>
      </c>
      <c r="G1377" t="s">
        <v>28</v>
      </c>
      <c r="H1377">
        <v>1</v>
      </c>
      <c r="Q1377">
        <v>0</v>
      </c>
      <c r="R1377">
        <v>1</v>
      </c>
      <c r="S1377">
        <v>0</v>
      </c>
      <c r="T1377">
        <v>1</v>
      </c>
      <c r="U1377">
        <v>0</v>
      </c>
      <c r="V1377">
        <v>1</v>
      </c>
    </row>
    <row r="1378" spans="1:22" x14ac:dyDescent="0.25">
      <c r="A1378" t="str">
        <f>"1374"</f>
        <v>1374</v>
      </c>
      <c r="B1378" t="str">
        <f t="shared" si="75"/>
        <v>102</v>
      </c>
      <c r="C1378" t="str">
        <f>"56"</f>
        <v>56</v>
      </c>
      <c r="D1378" t="str">
        <f>"1"</f>
        <v>1</v>
      </c>
      <c r="E1378" t="str">
        <f>"102-56-1"</f>
        <v>102-56-1</v>
      </c>
      <c r="F1378" t="s">
        <v>27</v>
      </c>
      <c r="G1378" t="s">
        <v>28</v>
      </c>
      <c r="H1378">
        <v>1</v>
      </c>
      <c r="Q1378">
        <v>0</v>
      </c>
      <c r="R1378">
        <v>1</v>
      </c>
      <c r="S1378">
        <v>0</v>
      </c>
      <c r="T1378">
        <v>1</v>
      </c>
      <c r="U1378">
        <v>1</v>
      </c>
      <c r="V1378">
        <v>0</v>
      </c>
    </row>
    <row r="1379" spans="1:22" x14ac:dyDescent="0.25">
      <c r="A1379" t="str">
        <f>"1375"</f>
        <v>1375</v>
      </c>
      <c r="B1379" t="str">
        <f t="shared" si="75"/>
        <v>102</v>
      </c>
      <c r="C1379" t="str">
        <f t="shared" ref="C1379:C1399" si="77">"57"</f>
        <v>57</v>
      </c>
      <c r="D1379" t="str">
        <f>"21"</f>
        <v>21</v>
      </c>
      <c r="E1379" t="str">
        <f>"102-57-21"</f>
        <v>102-57-21</v>
      </c>
      <c r="F1379" t="s">
        <v>27</v>
      </c>
      <c r="G1379" t="s">
        <v>28</v>
      </c>
      <c r="H1379">
        <v>1</v>
      </c>
      <c r="Q1379">
        <v>1</v>
      </c>
      <c r="R1379">
        <v>0</v>
      </c>
      <c r="S1379">
        <v>0</v>
      </c>
      <c r="T1379">
        <v>1</v>
      </c>
      <c r="U1379">
        <v>0</v>
      </c>
      <c r="V1379">
        <v>1</v>
      </c>
    </row>
    <row r="1380" spans="1:22" x14ac:dyDescent="0.25">
      <c r="A1380" t="str">
        <f>"1376"</f>
        <v>1376</v>
      </c>
      <c r="B1380" t="str">
        <f t="shared" si="75"/>
        <v>102</v>
      </c>
      <c r="C1380" t="str">
        <f t="shared" si="77"/>
        <v>57</v>
      </c>
      <c r="D1380" t="str">
        <f>"11"</f>
        <v>11</v>
      </c>
      <c r="E1380" t="str">
        <f>"102-57-11"</f>
        <v>102-57-11</v>
      </c>
      <c r="F1380" t="s">
        <v>27</v>
      </c>
      <c r="G1380" t="s">
        <v>28</v>
      </c>
      <c r="H1380">
        <v>1</v>
      </c>
      <c r="Q1380">
        <v>0</v>
      </c>
      <c r="R1380">
        <v>1</v>
      </c>
      <c r="S1380">
        <v>0</v>
      </c>
      <c r="T1380">
        <v>1</v>
      </c>
      <c r="U1380">
        <v>0</v>
      </c>
      <c r="V1380">
        <v>1</v>
      </c>
    </row>
    <row r="1381" spans="1:22" x14ac:dyDescent="0.25">
      <c r="A1381" t="str">
        <f>"1377"</f>
        <v>1377</v>
      </c>
      <c r="B1381" t="str">
        <f t="shared" si="75"/>
        <v>102</v>
      </c>
      <c r="C1381" t="str">
        <f t="shared" si="77"/>
        <v>57</v>
      </c>
      <c r="D1381" t="str">
        <f>"1"</f>
        <v>1</v>
      </c>
      <c r="E1381" t="str">
        <f>"102-57-1"</f>
        <v>102-57-1</v>
      </c>
      <c r="F1381" t="s">
        <v>27</v>
      </c>
      <c r="G1381" t="s">
        <v>28</v>
      </c>
      <c r="H1381">
        <v>1</v>
      </c>
      <c r="Q1381">
        <v>0</v>
      </c>
      <c r="R1381">
        <v>1</v>
      </c>
      <c r="S1381">
        <v>0</v>
      </c>
      <c r="T1381">
        <v>1</v>
      </c>
      <c r="U1381">
        <v>0</v>
      </c>
      <c r="V1381">
        <v>1</v>
      </c>
    </row>
    <row r="1382" spans="1:22" x14ac:dyDescent="0.25">
      <c r="A1382" t="str">
        <f>"1378"</f>
        <v>1378</v>
      </c>
      <c r="B1382" t="str">
        <f t="shared" si="75"/>
        <v>102</v>
      </c>
      <c r="C1382" t="str">
        <f t="shared" si="77"/>
        <v>57</v>
      </c>
      <c r="D1382" t="str">
        <f>"12"</f>
        <v>12</v>
      </c>
      <c r="E1382" t="str">
        <f>"102-57-12"</f>
        <v>102-57-12</v>
      </c>
      <c r="F1382" t="s">
        <v>27</v>
      </c>
      <c r="G1382" t="s">
        <v>28</v>
      </c>
      <c r="H1382">
        <v>1</v>
      </c>
      <c r="Q1382">
        <v>0</v>
      </c>
      <c r="R1382">
        <v>1</v>
      </c>
      <c r="S1382">
        <v>0</v>
      </c>
      <c r="T1382">
        <v>1</v>
      </c>
      <c r="U1382">
        <v>0</v>
      </c>
      <c r="V1382">
        <v>1</v>
      </c>
    </row>
    <row r="1383" spans="1:22" x14ac:dyDescent="0.25">
      <c r="A1383" t="str">
        <f>"1379"</f>
        <v>1379</v>
      </c>
      <c r="B1383" t="str">
        <f t="shared" si="75"/>
        <v>102</v>
      </c>
      <c r="C1383" t="str">
        <f t="shared" si="77"/>
        <v>57</v>
      </c>
      <c r="D1383" t="str">
        <f>"2"</f>
        <v>2</v>
      </c>
      <c r="E1383" t="str">
        <f>"102-57-2"</f>
        <v>102-57-2</v>
      </c>
      <c r="F1383" t="s">
        <v>27</v>
      </c>
      <c r="G1383" t="s">
        <v>28</v>
      </c>
      <c r="H1383">
        <v>1</v>
      </c>
      <c r="Q1383">
        <v>0</v>
      </c>
      <c r="R1383">
        <v>1</v>
      </c>
      <c r="S1383">
        <v>0</v>
      </c>
      <c r="T1383">
        <v>1</v>
      </c>
      <c r="U1383">
        <v>0</v>
      </c>
      <c r="V1383">
        <v>1</v>
      </c>
    </row>
    <row r="1384" spans="1:22" x14ac:dyDescent="0.25">
      <c r="A1384" t="str">
        <f>"1380"</f>
        <v>1380</v>
      </c>
      <c r="B1384" t="str">
        <f t="shared" si="75"/>
        <v>102</v>
      </c>
      <c r="C1384" t="str">
        <f t="shared" si="77"/>
        <v>57</v>
      </c>
      <c r="D1384" t="str">
        <f>"13"</f>
        <v>13</v>
      </c>
      <c r="E1384" t="str">
        <f>"102-57-13"</f>
        <v>102-57-13</v>
      </c>
      <c r="F1384" t="s">
        <v>27</v>
      </c>
      <c r="G1384" t="s">
        <v>28</v>
      </c>
      <c r="H1384">
        <v>1</v>
      </c>
      <c r="Q1384">
        <v>1</v>
      </c>
      <c r="R1384">
        <v>0</v>
      </c>
      <c r="S1384">
        <v>1</v>
      </c>
      <c r="T1384">
        <v>0</v>
      </c>
      <c r="U1384">
        <v>1</v>
      </c>
      <c r="V1384">
        <v>0</v>
      </c>
    </row>
    <row r="1385" spans="1:22" x14ac:dyDescent="0.25">
      <c r="A1385" t="str">
        <f>"1381"</f>
        <v>1381</v>
      </c>
      <c r="B1385" t="str">
        <f t="shared" si="75"/>
        <v>102</v>
      </c>
      <c r="C1385" t="str">
        <f t="shared" si="77"/>
        <v>57</v>
      </c>
      <c r="D1385" t="str">
        <f>"8"</f>
        <v>8</v>
      </c>
      <c r="E1385" t="str">
        <f>"102-57-8"</f>
        <v>102-57-8</v>
      </c>
      <c r="F1385" t="s">
        <v>27</v>
      </c>
      <c r="G1385" t="s">
        <v>28</v>
      </c>
      <c r="H1385">
        <v>1</v>
      </c>
      <c r="Q1385">
        <v>0</v>
      </c>
      <c r="R1385">
        <v>1</v>
      </c>
      <c r="S1385">
        <v>0</v>
      </c>
      <c r="T1385">
        <v>1</v>
      </c>
      <c r="U1385">
        <v>0</v>
      </c>
      <c r="V1385">
        <v>1</v>
      </c>
    </row>
    <row r="1386" spans="1:22" x14ac:dyDescent="0.25">
      <c r="A1386" t="str">
        <f>"1382"</f>
        <v>1382</v>
      </c>
      <c r="B1386" t="str">
        <f t="shared" si="75"/>
        <v>102</v>
      </c>
      <c r="C1386" t="str">
        <f t="shared" si="77"/>
        <v>57</v>
      </c>
      <c r="D1386" t="str">
        <f>"14"</f>
        <v>14</v>
      </c>
      <c r="E1386" t="str">
        <f>"102-57-14"</f>
        <v>102-57-14</v>
      </c>
      <c r="F1386" t="s">
        <v>27</v>
      </c>
      <c r="G1386" t="s">
        <v>28</v>
      </c>
      <c r="H1386">
        <v>1</v>
      </c>
      <c r="Q1386">
        <v>1</v>
      </c>
      <c r="R1386">
        <v>0</v>
      </c>
      <c r="S1386">
        <v>1</v>
      </c>
      <c r="T1386">
        <v>0</v>
      </c>
      <c r="U1386">
        <v>1</v>
      </c>
      <c r="V1386">
        <v>0</v>
      </c>
    </row>
    <row r="1387" spans="1:22" x14ac:dyDescent="0.25">
      <c r="A1387" t="str">
        <f>"1383"</f>
        <v>1383</v>
      </c>
      <c r="B1387" t="str">
        <f t="shared" si="75"/>
        <v>102</v>
      </c>
      <c r="C1387" t="str">
        <f t="shared" si="77"/>
        <v>57</v>
      </c>
      <c r="D1387" t="str">
        <f>"7"</f>
        <v>7</v>
      </c>
      <c r="E1387" t="str">
        <f>"102-57-7"</f>
        <v>102-57-7</v>
      </c>
      <c r="F1387" t="s">
        <v>27</v>
      </c>
      <c r="G1387" t="s">
        <v>28</v>
      </c>
      <c r="H1387">
        <v>1</v>
      </c>
      <c r="Q1387">
        <v>1</v>
      </c>
      <c r="R1387">
        <v>0</v>
      </c>
      <c r="S1387">
        <v>0</v>
      </c>
      <c r="T1387">
        <v>1</v>
      </c>
      <c r="U1387">
        <v>0</v>
      </c>
      <c r="V1387">
        <v>1</v>
      </c>
    </row>
    <row r="1388" spans="1:22" x14ac:dyDescent="0.25">
      <c r="A1388" t="str">
        <f>"1384"</f>
        <v>1384</v>
      </c>
      <c r="B1388" t="str">
        <f t="shared" si="75"/>
        <v>102</v>
      </c>
      <c r="C1388" t="str">
        <f t="shared" si="77"/>
        <v>57</v>
      </c>
      <c r="D1388" t="str">
        <f>"15"</f>
        <v>15</v>
      </c>
      <c r="E1388" t="str">
        <f>"102-57-15"</f>
        <v>102-57-15</v>
      </c>
      <c r="F1388" t="s">
        <v>27</v>
      </c>
      <c r="G1388" t="s">
        <v>28</v>
      </c>
      <c r="H1388">
        <v>1</v>
      </c>
      <c r="Q1388">
        <v>1</v>
      </c>
      <c r="R1388">
        <v>0</v>
      </c>
      <c r="S1388">
        <v>1</v>
      </c>
      <c r="T1388">
        <v>0</v>
      </c>
      <c r="U1388">
        <v>1</v>
      </c>
      <c r="V1388">
        <v>0</v>
      </c>
    </row>
    <row r="1389" spans="1:22" x14ac:dyDescent="0.25">
      <c r="A1389" t="str">
        <f>"1385"</f>
        <v>1385</v>
      </c>
      <c r="B1389" t="str">
        <f t="shared" si="75"/>
        <v>102</v>
      </c>
      <c r="C1389" t="str">
        <f t="shared" si="77"/>
        <v>57</v>
      </c>
      <c r="D1389" t="str">
        <f>"5"</f>
        <v>5</v>
      </c>
      <c r="E1389" t="str">
        <f>"102-57-5"</f>
        <v>102-57-5</v>
      </c>
      <c r="F1389" t="s">
        <v>27</v>
      </c>
      <c r="G1389" t="s">
        <v>28</v>
      </c>
      <c r="H1389">
        <v>1</v>
      </c>
      <c r="Q1389">
        <v>0</v>
      </c>
      <c r="R1389">
        <v>1</v>
      </c>
      <c r="S1389">
        <v>0</v>
      </c>
      <c r="T1389">
        <v>1</v>
      </c>
      <c r="U1389">
        <v>0</v>
      </c>
      <c r="V1389">
        <v>0</v>
      </c>
    </row>
    <row r="1390" spans="1:22" x14ac:dyDescent="0.25">
      <c r="A1390" t="str">
        <f>"1386"</f>
        <v>1386</v>
      </c>
      <c r="B1390" t="str">
        <f t="shared" si="75"/>
        <v>102</v>
      </c>
      <c r="C1390" t="str">
        <f t="shared" si="77"/>
        <v>57</v>
      </c>
      <c r="D1390" t="str">
        <f>"16"</f>
        <v>16</v>
      </c>
      <c r="E1390" t="str">
        <f>"102-57-16"</f>
        <v>102-57-16</v>
      </c>
      <c r="F1390" t="s">
        <v>27</v>
      </c>
      <c r="G1390" t="s">
        <v>28</v>
      </c>
      <c r="H1390">
        <v>1</v>
      </c>
      <c r="Q1390">
        <v>0</v>
      </c>
      <c r="R1390">
        <v>1</v>
      </c>
      <c r="S1390">
        <v>0</v>
      </c>
      <c r="T1390">
        <v>1</v>
      </c>
      <c r="U1390">
        <v>0</v>
      </c>
      <c r="V1390">
        <v>1</v>
      </c>
    </row>
    <row r="1391" spans="1:22" x14ac:dyDescent="0.25">
      <c r="A1391" t="str">
        <f>"1387"</f>
        <v>1387</v>
      </c>
      <c r="B1391" t="str">
        <f t="shared" si="75"/>
        <v>102</v>
      </c>
      <c r="C1391" t="str">
        <f t="shared" si="77"/>
        <v>57</v>
      </c>
      <c r="D1391" t="str">
        <f>"6"</f>
        <v>6</v>
      </c>
      <c r="E1391" t="str">
        <f>"102-57-6"</f>
        <v>102-57-6</v>
      </c>
      <c r="F1391" t="s">
        <v>27</v>
      </c>
      <c r="G1391" t="s">
        <v>28</v>
      </c>
      <c r="H1391">
        <v>1</v>
      </c>
      <c r="Q1391">
        <v>0</v>
      </c>
      <c r="R1391">
        <v>1</v>
      </c>
      <c r="S1391">
        <v>0</v>
      </c>
      <c r="T1391">
        <v>1</v>
      </c>
      <c r="U1391">
        <v>0</v>
      </c>
      <c r="V1391">
        <v>1</v>
      </c>
    </row>
    <row r="1392" spans="1:22" x14ac:dyDescent="0.25">
      <c r="A1392" t="str">
        <f>"1388"</f>
        <v>1388</v>
      </c>
      <c r="B1392" t="str">
        <f t="shared" si="75"/>
        <v>102</v>
      </c>
      <c r="C1392" t="str">
        <f t="shared" si="77"/>
        <v>57</v>
      </c>
      <c r="D1392" t="str">
        <f>"17"</f>
        <v>17</v>
      </c>
      <c r="E1392" t="str">
        <f>"102-57-17"</f>
        <v>102-57-17</v>
      </c>
      <c r="F1392" t="s">
        <v>27</v>
      </c>
      <c r="G1392" t="s">
        <v>28</v>
      </c>
      <c r="H1392">
        <v>1</v>
      </c>
      <c r="Q1392">
        <v>0</v>
      </c>
      <c r="R1392">
        <v>1</v>
      </c>
      <c r="S1392">
        <v>0</v>
      </c>
      <c r="T1392">
        <v>1</v>
      </c>
      <c r="U1392">
        <v>0</v>
      </c>
      <c r="V1392">
        <v>1</v>
      </c>
    </row>
    <row r="1393" spans="1:22" x14ac:dyDescent="0.25">
      <c r="A1393" t="str">
        <f>"1389"</f>
        <v>1389</v>
      </c>
      <c r="B1393" t="str">
        <f t="shared" si="75"/>
        <v>102</v>
      </c>
      <c r="C1393" t="str">
        <f t="shared" si="77"/>
        <v>57</v>
      </c>
      <c r="D1393" t="str">
        <f>"4"</f>
        <v>4</v>
      </c>
      <c r="E1393" t="str">
        <f>"102-57-4"</f>
        <v>102-57-4</v>
      </c>
      <c r="F1393" t="s">
        <v>27</v>
      </c>
      <c r="G1393" t="s">
        <v>28</v>
      </c>
      <c r="H1393">
        <v>1</v>
      </c>
      <c r="Q1393">
        <v>1</v>
      </c>
      <c r="R1393">
        <v>0</v>
      </c>
      <c r="S1393">
        <v>1</v>
      </c>
      <c r="T1393">
        <v>0</v>
      </c>
      <c r="U1393">
        <v>1</v>
      </c>
      <c r="V1393">
        <v>0</v>
      </c>
    </row>
    <row r="1394" spans="1:22" x14ac:dyDescent="0.25">
      <c r="A1394" t="str">
        <f>"1390"</f>
        <v>1390</v>
      </c>
      <c r="B1394" t="str">
        <f t="shared" si="75"/>
        <v>102</v>
      </c>
      <c r="C1394" t="str">
        <f t="shared" si="77"/>
        <v>57</v>
      </c>
      <c r="D1394" t="str">
        <f>"18"</f>
        <v>18</v>
      </c>
      <c r="E1394" t="str">
        <f>"102-57-18"</f>
        <v>102-57-18</v>
      </c>
      <c r="F1394" t="s">
        <v>27</v>
      </c>
      <c r="G1394" t="s">
        <v>28</v>
      </c>
      <c r="H1394">
        <v>1</v>
      </c>
      <c r="Q1394">
        <v>0</v>
      </c>
      <c r="R1394">
        <v>1</v>
      </c>
      <c r="S1394">
        <v>0</v>
      </c>
      <c r="T1394">
        <v>1</v>
      </c>
      <c r="U1394">
        <v>0</v>
      </c>
      <c r="V1394">
        <v>1</v>
      </c>
    </row>
    <row r="1395" spans="1:22" x14ac:dyDescent="0.25">
      <c r="A1395" t="str">
        <f>"1391"</f>
        <v>1391</v>
      </c>
      <c r="B1395" t="str">
        <f t="shared" si="75"/>
        <v>102</v>
      </c>
      <c r="C1395" t="str">
        <f t="shared" si="77"/>
        <v>57</v>
      </c>
      <c r="D1395" t="str">
        <f>"3"</f>
        <v>3</v>
      </c>
      <c r="E1395" t="str">
        <f>"102-57-3"</f>
        <v>102-57-3</v>
      </c>
      <c r="F1395" t="s">
        <v>27</v>
      </c>
      <c r="G1395" t="s">
        <v>28</v>
      </c>
      <c r="H1395">
        <v>1</v>
      </c>
      <c r="Q1395">
        <v>0</v>
      </c>
      <c r="R1395">
        <v>1</v>
      </c>
      <c r="S1395">
        <v>0</v>
      </c>
      <c r="T1395">
        <v>1</v>
      </c>
      <c r="U1395">
        <v>1</v>
      </c>
      <c r="V1395">
        <v>0</v>
      </c>
    </row>
    <row r="1396" spans="1:22" x14ac:dyDescent="0.25">
      <c r="A1396" t="str">
        <f>"1392"</f>
        <v>1392</v>
      </c>
      <c r="B1396" t="str">
        <f t="shared" si="75"/>
        <v>102</v>
      </c>
      <c r="C1396" t="str">
        <f t="shared" si="77"/>
        <v>57</v>
      </c>
      <c r="D1396" t="str">
        <f>"19"</f>
        <v>19</v>
      </c>
      <c r="E1396" t="str">
        <f>"102-57-19"</f>
        <v>102-57-19</v>
      </c>
      <c r="F1396" t="s">
        <v>27</v>
      </c>
      <c r="G1396" t="s">
        <v>28</v>
      </c>
      <c r="H1396">
        <v>1</v>
      </c>
      <c r="Q1396">
        <v>0</v>
      </c>
      <c r="R1396">
        <v>1</v>
      </c>
      <c r="S1396">
        <v>0</v>
      </c>
      <c r="T1396">
        <v>1</v>
      </c>
      <c r="U1396">
        <v>0</v>
      </c>
      <c r="V1396">
        <v>1</v>
      </c>
    </row>
    <row r="1397" spans="1:22" x14ac:dyDescent="0.25">
      <c r="A1397" t="str">
        <f>"1393"</f>
        <v>1393</v>
      </c>
      <c r="B1397" t="str">
        <f t="shared" si="75"/>
        <v>102</v>
      </c>
      <c r="C1397" t="str">
        <f t="shared" si="77"/>
        <v>57</v>
      </c>
      <c r="D1397" t="str">
        <f>"9"</f>
        <v>9</v>
      </c>
      <c r="E1397" t="str">
        <f>"102-57-9"</f>
        <v>102-57-9</v>
      </c>
      <c r="F1397" t="s">
        <v>27</v>
      </c>
      <c r="G1397" t="s">
        <v>28</v>
      </c>
      <c r="H1397">
        <v>1</v>
      </c>
      <c r="Q1397">
        <v>0</v>
      </c>
      <c r="R1397">
        <v>1</v>
      </c>
      <c r="S1397">
        <v>0</v>
      </c>
      <c r="T1397">
        <v>1</v>
      </c>
      <c r="U1397">
        <v>0</v>
      </c>
      <c r="V1397">
        <v>1</v>
      </c>
    </row>
    <row r="1398" spans="1:22" x14ac:dyDescent="0.25">
      <c r="A1398" t="str">
        <f>"1394"</f>
        <v>1394</v>
      </c>
      <c r="B1398" t="str">
        <f t="shared" si="75"/>
        <v>102</v>
      </c>
      <c r="C1398" t="str">
        <f t="shared" si="77"/>
        <v>57</v>
      </c>
      <c r="D1398" t="str">
        <f>"20"</f>
        <v>20</v>
      </c>
      <c r="E1398" t="str">
        <f>"102-57-20"</f>
        <v>102-57-20</v>
      </c>
      <c r="F1398" t="s">
        <v>27</v>
      </c>
      <c r="G1398" t="s">
        <v>28</v>
      </c>
      <c r="H1398">
        <v>1</v>
      </c>
      <c r="Q1398">
        <v>1</v>
      </c>
      <c r="R1398">
        <v>0</v>
      </c>
      <c r="S1398">
        <v>0</v>
      </c>
      <c r="T1398">
        <v>1</v>
      </c>
      <c r="U1398">
        <v>0</v>
      </c>
      <c r="V1398">
        <v>1</v>
      </c>
    </row>
    <row r="1399" spans="1:22" x14ac:dyDescent="0.25">
      <c r="A1399" t="str">
        <f>"1395"</f>
        <v>1395</v>
      </c>
      <c r="B1399" t="str">
        <f t="shared" si="75"/>
        <v>102</v>
      </c>
      <c r="C1399" t="str">
        <f t="shared" si="77"/>
        <v>57</v>
      </c>
      <c r="D1399" t="str">
        <f>"10"</f>
        <v>10</v>
      </c>
      <c r="E1399" t="str">
        <f>"102-57-10"</f>
        <v>102-57-10</v>
      </c>
      <c r="F1399" t="s">
        <v>27</v>
      </c>
      <c r="G1399" t="s">
        <v>28</v>
      </c>
      <c r="H1399">
        <v>1</v>
      </c>
      <c r="Q1399">
        <v>1</v>
      </c>
      <c r="R1399">
        <v>0</v>
      </c>
      <c r="S1399">
        <v>0</v>
      </c>
      <c r="T1399">
        <v>1</v>
      </c>
      <c r="U1399">
        <v>0</v>
      </c>
      <c r="V1399">
        <v>1</v>
      </c>
    </row>
    <row r="1400" spans="1:22" x14ac:dyDescent="0.25">
      <c r="A1400" t="str">
        <f>"1396"</f>
        <v>1396</v>
      </c>
      <c r="B1400" t="str">
        <f t="shared" si="75"/>
        <v>102</v>
      </c>
      <c r="C1400" t="str">
        <f t="shared" ref="C1400:C1415" si="78">"58"</f>
        <v>58</v>
      </c>
      <c r="D1400" t="str">
        <f>"11"</f>
        <v>11</v>
      </c>
      <c r="E1400" t="str">
        <f>"102-58-11"</f>
        <v>102-58-11</v>
      </c>
      <c r="F1400" t="s">
        <v>27</v>
      </c>
      <c r="G1400" t="s">
        <v>28</v>
      </c>
      <c r="H1400">
        <v>1</v>
      </c>
      <c r="Q1400">
        <v>0</v>
      </c>
      <c r="R1400">
        <v>1</v>
      </c>
      <c r="S1400">
        <v>0</v>
      </c>
      <c r="T1400">
        <v>1</v>
      </c>
      <c r="U1400">
        <v>1</v>
      </c>
      <c r="V1400">
        <v>0</v>
      </c>
    </row>
    <row r="1401" spans="1:22" x14ac:dyDescent="0.25">
      <c r="A1401" t="str">
        <f>"1397"</f>
        <v>1397</v>
      </c>
      <c r="B1401" t="str">
        <f t="shared" si="75"/>
        <v>102</v>
      </c>
      <c r="C1401" t="str">
        <f t="shared" si="78"/>
        <v>58</v>
      </c>
      <c r="D1401" t="str">
        <f>"2"</f>
        <v>2</v>
      </c>
      <c r="E1401" t="str">
        <f>"102-58-2"</f>
        <v>102-58-2</v>
      </c>
      <c r="F1401" t="s">
        <v>27</v>
      </c>
      <c r="G1401" t="s">
        <v>28</v>
      </c>
      <c r="H1401">
        <v>1</v>
      </c>
      <c r="Q1401">
        <v>1</v>
      </c>
      <c r="R1401">
        <v>0</v>
      </c>
      <c r="S1401">
        <v>1</v>
      </c>
      <c r="T1401">
        <v>0</v>
      </c>
      <c r="U1401">
        <v>0</v>
      </c>
      <c r="V1401">
        <v>0</v>
      </c>
    </row>
    <row r="1402" spans="1:22" x14ac:dyDescent="0.25">
      <c r="A1402" t="str">
        <f>"1398"</f>
        <v>1398</v>
      </c>
      <c r="B1402" t="str">
        <f t="shared" si="75"/>
        <v>102</v>
      </c>
      <c r="C1402" t="str">
        <f t="shared" si="78"/>
        <v>58</v>
      </c>
      <c r="D1402" t="str">
        <f>"12"</f>
        <v>12</v>
      </c>
      <c r="E1402" t="str">
        <f>"102-58-12"</f>
        <v>102-58-12</v>
      </c>
      <c r="F1402" t="s">
        <v>27</v>
      </c>
      <c r="G1402" t="s">
        <v>28</v>
      </c>
      <c r="H1402">
        <v>1</v>
      </c>
      <c r="Q1402">
        <v>0</v>
      </c>
      <c r="R1402">
        <v>1</v>
      </c>
      <c r="S1402">
        <v>0</v>
      </c>
      <c r="T1402">
        <v>1</v>
      </c>
      <c r="U1402">
        <v>0</v>
      </c>
      <c r="V1402">
        <v>1</v>
      </c>
    </row>
    <row r="1403" spans="1:22" x14ac:dyDescent="0.25">
      <c r="A1403" t="str">
        <f>"1399"</f>
        <v>1399</v>
      </c>
      <c r="B1403" t="str">
        <f t="shared" si="75"/>
        <v>102</v>
      </c>
      <c r="C1403" t="str">
        <f t="shared" si="78"/>
        <v>58</v>
      </c>
      <c r="D1403" t="str">
        <f>"1"</f>
        <v>1</v>
      </c>
      <c r="E1403" t="str">
        <f>"102-58-1"</f>
        <v>102-58-1</v>
      </c>
      <c r="F1403" t="s">
        <v>27</v>
      </c>
      <c r="G1403" t="s">
        <v>28</v>
      </c>
      <c r="H1403">
        <v>1</v>
      </c>
      <c r="Q1403">
        <v>1</v>
      </c>
      <c r="R1403">
        <v>0</v>
      </c>
      <c r="S1403">
        <v>0</v>
      </c>
      <c r="T1403">
        <v>1</v>
      </c>
      <c r="U1403">
        <v>1</v>
      </c>
      <c r="V1403">
        <v>0</v>
      </c>
    </row>
    <row r="1404" spans="1:22" x14ac:dyDescent="0.25">
      <c r="A1404" t="str">
        <f>"1400"</f>
        <v>1400</v>
      </c>
      <c r="B1404" t="str">
        <f t="shared" si="75"/>
        <v>102</v>
      </c>
      <c r="C1404" t="str">
        <f t="shared" si="78"/>
        <v>58</v>
      </c>
      <c r="D1404" t="str">
        <f>"13"</f>
        <v>13</v>
      </c>
      <c r="E1404" t="str">
        <f>"102-58-13"</f>
        <v>102-58-13</v>
      </c>
      <c r="F1404" t="s">
        <v>27</v>
      </c>
      <c r="G1404" t="s">
        <v>28</v>
      </c>
      <c r="H1404">
        <v>1</v>
      </c>
      <c r="Q1404">
        <v>0</v>
      </c>
      <c r="R1404">
        <v>1</v>
      </c>
      <c r="S1404">
        <v>0</v>
      </c>
      <c r="T1404">
        <v>1</v>
      </c>
      <c r="U1404">
        <v>1</v>
      </c>
      <c r="V1404">
        <v>0</v>
      </c>
    </row>
    <row r="1405" spans="1:22" x14ac:dyDescent="0.25">
      <c r="A1405" t="str">
        <f>"1401"</f>
        <v>1401</v>
      </c>
      <c r="B1405" t="str">
        <f t="shared" si="75"/>
        <v>102</v>
      </c>
      <c r="C1405" t="str">
        <f t="shared" si="78"/>
        <v>58</v>
      </c>
      <c r="D1405" t="str">
        <f>"5"</f>
        <v>5</v>
      </c>
      <c r="E1405" t="str">
        <f>"102-58-5"</f>
        <v>102-58-5</v>
      </c>
      <c r="F1405" t="s">
        <v>27</v>
      </c>
      <c r="G1405" t="s">
        <v>28</v>
      </c>
      <c r="H1405">
        <v>1</v>
      </c>
      <c r="Q1405">
        <v>1</v>
      </c>
      <c r="R1405">
        <v>0</v>
      </c>
      <c r="S1405">
        <v>0</v>
      </c>
      <c r="T1405">
        <v>1</v>
      </c>
      <c r="U1405">
        <v>0</v>
      </c>
      <c r="V1405">
        <v>1</v>
      </c>
    </row>
    <row r="1406" spans="1:22" x14ac:dyDescent="0.25">
      <c r="A1406" t="str">
        <f>"1402"</f>
        <v>1402</v>
      </c>
      <c r="B1406" t="str">
        <f t="shared" si="75"/>
        <v>102</v>
      </c>
      <c r="C1406" t="str">
        <f t="shared" si="78"/>
        <v>58</v>
      </c>
      <c r="D1406" t="str">
        <f>"14"</f>
        <v>14</v>
      </c>
      <c r="E1406" t="str">
        <f>"102-58-14"</f>
        <v>102-58-14</v>
      </c>
      <c r="F1406" t="s">
        <v>27</v>
      </c>
      <c r="G1406" t="s">
        <v>28</v>
      </c>
      <c r="H1406">
        <v>1</v>
      </c>
      <c r="Q1406">
        <v>0</v>
      </c>
      <c r="R1406">
        <v>1</v>
      </c>
      <c r="S1406">
        <v>0</v>
      </c>
      <c r="T1406">
        <v>1</v>
      </c>
      <c r="U1406">
        <v>0</v>
      </c>
      <c r="V1406">
        <v>0</v>
      </c>
    </row>
    <row r="1407" spans="1:22" x14ac:dyDescent="0.25">
      <c r="A1407" t="str">
        <f>"1403"</f>
        <v>1403</v>
      </c>
      <c r="B1407" t="str">
        <f t="shared" si="75"/>
        <v>102</v>
      </c>
      <c r="C1407" t="str">
        <f t="shared" si="78"/>
        <v>58</v>
      </c>
      <c r="D1407" t="str">
        <f>"8"</f>
        <v>8</v>
      </c>
      <c r="E1407" t="str">
        <f>"102-58-8"</f>
        <v>102-58-8</v>
      </c>
      <c r="F1407" t="s">
        <v>27</v>
      </c>
      <c r="G1407" t="s">
        <v>28</v>
      </c>
      <c r="H1407">
        <v>1</v>
      </c>
      <c r="Q1407">
        <v>0</v>
      </c>
      <c r="R1407">
        <v>1</v>
      </c>
      <c r="S1407">
        <v>0</v>
      </c>
      <c r="T1407">
        <v>1</v>
      </c>
      <c r="U1407">
        <v>0</v>
      </c>
      <c r="V1407">
        <v>1</v>
      </c>
    </row>
    <row r="1408" spans="1:22" x14ac:dyDescent="0.25">
      <c r="A1408" t="str">
        <f>"1404"</f>
        <v>1404</v>
      </c>
      <c r="B1408" t="str">
        <f t="shared" si="75"/>
        <v>102</v>
      </c>
      <c r="C1408" t="str">
        <f t="shared" si="78"/>
        <v>58</v>
      </c>
      <c r="D1408" t="str">
        <f>"15"</f>
        <v>15</v>
      </c>
      <c r="E1408" t="str">
        <f>"102-58-15"</f>
        <v>102-58-15</v>
      </c>
      <c r="F1408" t="s">
        <v>27</v>
      </c>
      <c r="G1408" t="s">
        <v>28</v>
      </c>
      <c r="H1408">
        <v>1</v>
      </c>
      <c r="Q1408">
        <v>1</v>
      </c>
      <c r="R1408">
        <v>0</v>
      </c>
      <c r="S1408">
        <v>1</v>
      </c>
      <c r="T1408">
        <v>0</v>
      </c>
      <c r="U1408">
        <v>0</v>
      </c>
      <c r="V1408">
        <v>1</v>
      </c>
    </row>
    <row r="1409" spans="1:22" x14ac:dyDescent="0.25">
      <c r="A1409" t="str">
        <f>"1405"</f>
        <v>1405</v>
      </c>
      <c r="B1409" t="str">
        <f t="shared" si="75"/>
        <v>102</v>
      </c>
      <c r="C1409" t="str">
        <f t="shared" si="78"/>
        <v>58</v>
      </c>
      <c r="D1409" t="str">
        <f>"10"</f>
        <v>10</v>
      </c>
      <c r="E1409" t="str">
        <f>"102-58-10"</f>
        <v>102-58-10</v>
      </c>
      <c r="F1409" t="s">
        <v>27</v>
      </c>
      <c r="G1409" t="s">
        <v>28</v>
      </c>
      <c r="H1409">
        <v>1</v>
      </c>
      <c r="Q1409">
        <v>0</v>
      </c>
      <c r="R1409">
        <v>1</v>
      </c>
      <c r="S1409">
        <v>0</v>
      </c>
      <c r="T1409">
        <v>1</v>
      </c>
      <c r="U1409">
        <v>1</v>
      </c>
      <c r="V1409">
        <v>0</v>
      </c>
    </row>
    <row r="1410" spans="1:22" x14ac:dyDescent="0.25">
      <c r="A1410" t="str">
        <f>"1406"</f>
        <v>1406</v>
      </c>
      <c r="B1410" t="str">
        <f t="shared" si="75"/>
        <v>102</v>
      </c>
      <c r="C1410" t="str">
        <f t="shared" si="78"/>
        <v>58</v>
      </c>
      <c r="D1410" t="str">
        <f>"16"</f>
        <v>16</v>
      </c>
      <c r="E1410" t="str">
        <f>"102-58-16"</f>
        <v>102-58-16</v>
      </c>
      <c r="F1410" t="s">
        <v>27</v>
      </c>
      <c r="G1410" t="s">
        <v>28</v>
      </c>
      <c r="H1410">
        <v>1</v>
      </c>
      <c r="Q1410">
        <v>1</v>
      </c>
      <c r="R1410">
        <v>0</v>
      </c>
      <c r="S1410">
        <v>1</v>
      </c>
      <c r="T1410">
        <v>0</v>
      </c>
      <c r="U1410">
        <v>1</v>
      </c>
      <c r="V1410">
        <v>0</v>
      </c>
    </row>
    <row r="1411" spans="1:22" x14ac:dyDescent="0.25">
      <c r="A1411" t="str">
        <f>"1407"</f>
        <v>1407</v>
      </c>
      <c r="B1411" t="str">
        <f t="shared" si="75"/>
        <v>102</v>
      </c>
      <c r="C1411" t="str">
        <f t="shared" si="78"/>
        <v>58</v>
      </c>
      <c r="D1411" t="str">
        <f>"9"</f>
        <v>9</v>
      </c>
      <c r="E1411" t="str">
        <f>"102-58-9"</f>
        <v>102-58-9</v>
      </c>
      <c r="F1411" t="s">
        <v>27</v>
      </c>
      <c r="G1411" t="s">
        <v>28</v>
      </c>
      <c r="H1411">
        <v>1</v>
      </c>
      <c r="Q1411">
        <v>1</v>
      </c>
      <c r="R1411">
        <v>0</v>
      </c>
      <c r="S1411">
        <v>1</v>
      </c>
      <c r="T1411">
        <v>0</v>
      </c>
      <c r="U1411">
        <v>1</v>
      </c>
      <c r="V1411">
        <v>0</v>
      </c>
    </row>
    <row r="1412" spans="1:22" x14ac:dyDescent="0.25">
      <c r="A1412" t="str">
        <f>"1408"</f>
        <v>1408</v>
      </c>
      <c r="B1412" t="str">
        <f t="shared" si="75"/>
        <v>102</v>
      </c>
      <c r="C1412" t="str">
        <f t="shared" si="78"/>
        <v>58</v>
      </c>
      <c r="D1412" t="str">
        <f>"3"</f>
        <v>3</v>
      </c>
      <c r="E1412" t="str">
        <f>"102-58-3"</f>
        <v>102-58-3</v>
      </c>
      <c r="F1412" t="s">
        <v>27</v>
      </c>
      <c r="G1412" t="s">
        <v>28</v>
      </c>
      <c r="H1412">
        <v>1</v>
      </c>
      <c r="Q1412">
        <v>0</v>
      </c>
      <c r="R1412">
        <v>1</v>
      </c>
      <c r="S1412">
        <v>0</v>
      </c>
      <c r="T1412">
        <v>1</v>
      </c>
      <c r="U1412">
        <v>1</v>
      </c>
      <c r="V1412">
        <v>0</v>
      </c>
    </row>
    <row r="1413" spans="1:22" x14ac:dyDescent="0.25">
      <c r="A1413" t="str">
        <f>"1409"</f>
        <v>1409</v>
      </c>
      <c r="B1413" t="str">
        <f t="shared" si="75"/>
        <v>102</v>
      </c>
      <c r="C1413" t="str">
        <f t="shared" si="78"/>
        <v>58</v>
      </c>
      <c r="D1413" t="str">
        <f>"4"</f>
        <v>4</v>
      </c>
      <c r="E1413" t="str">
        <f>"102-58-4"</f>
        <v>102-58-4</v>
      </c>
      <c r="F1413" t="s">
        <v>27</v>
      </c>
      <c r="G1413" t="s">
        <v>28</v>
      </c>
      <c r="H1413">
        <v>1</v>
      </c>
      <c r="Q1413">
        <v>0</v>
      </c>
      <c r="R1413">
        <v>1</v>
      </c>
      <c r="S1413">
        <v>0</v>
      </c>
      <c r="T1413">
        <v>1</v>
      </c>
      <c r="U1413">
        <v>0</v>
      </c>
      <c r="V1413">
        <v>1</v>
      </c>
    </row>
    <row r="1414" spans="1:22" x14ac:dyDescent="0.25">
      <c r="A1414" t="str">
        <f>"1410"</f>
        <v>1410</v>
      </c>
      <c r="B1414" t="str">
        <f t="shared" si="75"/>
        <v>102</v>
      </c>
      <c r="C1414" t="str">
        <f t="shared" si="78"/>
        <v>58</v>
      </c>
      <c r="D1414" t="str">
        <f>"7"</f>
        <v>7</v>
      </c>
      <c r="E1414" t="str">
        <f>"102-58-7"</f>
        <v>102-58-7</v>
      </c>
      <c r="F1414" t="s">
        <v>27</v>
      </c>
      <c r="G1414" t="s">
        <v>28</v>
      </c>
      <c r="H1414">
        <v>1</v>
      </c>
      <c r="Q1414">
        <v>0</v>
      </c>
      <c r="R1414">
        <v>1</v>
      </c>
      <c r="S1414">
        <v>0</v>
      </c>
      <c r="T1414">
        <v>1</v>
      </c>
      <c r="U1414">
        <v>0</v>
      </c>
      <c r="V1414">
        <v>1</v>
      </c>
    </row>
    <row r="1415" spans="1:22" x14ac:dyDescent="0.25">
      <c r="A1415" t="str">
        <f>"1411"</f>
        <v>1411</v>
      </c>
      <c r="B1415" t="str">
        <f t="shared" si="75"/>
        <v>102</v>
      </c>
      <c r="C1415" t="str">
        <f t="shared" si="78"/>
        <v>58</v>
      </c>
      <c r="D1415" t="str">
        <f>"6"</f>
        <v>6</v>
      </c>
      <c r="E1415" t="str">
        <f>"102-58-6"</f>
        <v>102-58-6</v>
      </c>
      <c r="F1415" t="s">
        <v>27</v>
      </c>
      <c r="G1415" t="s">
        <v>28</v>
      </c>
      <c r="H1415">
        <v>1</v>
      </c>
      <c r="Q1415">
        <v>0</v>
      </c>
      <c r="R1415">
        <v>1</v>
      </c>
      <c r="S1415">
        <v>0</v>
      </c>
      <c r="T1415">
        <v>1</v>
      </c>
      <c r="U1415">
        <v>0</v>
      </c>
      <c r="V1415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11E5FF47351A4E8ECC4E89FD4E73E2" ma:contentTypeVersion="12" ma:contentTypeDescription="Create a new document." ma:contentTypeScope="" ma:versionID="d9fa4da885345096286b4c8648fe87f5">
  <xsd:schema xmlns:xsd="http://www.w3.org/2001/XMLSchema" xmlns:xs="http://www.w3.org/2001/XMLSchema" xmlns:p="http://schemas.microsoft.com/office/2006/metadata/properties" xmlns:ns2="aa43e835-1cbd-499a-b5a3-9040b39e9045" xmlns:ns3="8c79a605-d9a3-4d23-9367-7811bec098bc" targetNamespace="http://schemas.microsoft.com/office/2006/metadata/properties" ma:root="true" ma:fieldsID="20cb9334f9f9f19999db4783c3de54e7" ns2:_="" ns3:_="">
    <xsd:import namespace="aa43e835-1cbd-499a-b5a3-9040b39e9045"/>
    <xsd:import namespace="8c79a605-d9a3-4d23-9367-7811bec09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3e835-1cbd-499a-b5a3-9040b39e9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cacfd12-38e1-4a9f-bfb1-7d5bba3e21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9a605-d9a3-4d23-9367-7811bec098b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c6a8d29-8137-4ce1-b1b6-619ed3fbe1e7}" ma:internalName="TaxCatchAll" ma:showField="CatchAllData" ma:web="8c79a605-d9a3-4d23-9367-7811bec09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79a605-d9a3-4d23-9367-7811bec098bc" xsi:nil="true"/>
    <lcf76f155ced4ddcb4097134ff3c332f xmlns="aa43e835-1cbd-499a-b5a3-9040b39e90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6A6F19-B79A-474D-B7C3-535BBA95129B}"/>
</file>

<file path=customXml/itemProps2.xml><?xml version="1.0" encoding="utf-8"?>
<ds:datastoreItem xmlns:ds="http://schemas.openxmlformats.org/officeDocument/2006/customXml" ds:itemID="{5133DC13-1D36-4F74-811D-27B427B4B981}"/>
</file>

<file path=customXml/itemProps3.xml><?xml version="1.0" encoding="utf-8"?>
<ds:datastoreItem xmlns:ds="http://schemas.openxmlformats.org/officeDocument/2006/customXml" ds:itemID="{C2C339AE-3A68-4004-AB9F-AD1D267A8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Officia_Redacted_lCVR_Export_20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Mindy Dutro</cp:lastModifiedBy>
  <dcterms:created xsi:type="dcterms:W3CDTF">2025-11-26T15:42:05Z</dcterms:created>
  <dcterms:modified xsi:type="dcterms:W3CDTF">2025-11-26T15:43:14Z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0x0101009911E5FF47351A4E8ECC4E89FD4E73E2</vt:lpwstr>
  </property>
</Properties>
</file>